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/>
  <mc:AlternateContent xmlns:mc="http://schemas.openxmlformats.org/markup-compatibility/2006">
    <mc:Choice Requires="x15">
      <x15ac:absPath xmlns:x15ac="http://schemas.microsoft.com/office/spreadsheetml/2010/11/ac" url="/Users/alexandershkrebelo/Downloads/"/>
    </mc:Choice>
  </mc:AlternateContent>
  <xr:revisionPtr revIDLastSave="0" documentId="13_ncr:1_{C82DF3DD-0636-E543-9E67-0311413E4A79}" xr6:coauthVersionLast="47" xr6:coauthVersionMax="47" xr10:uidLastSave="{00000000-0000-0000-0000-000000000000}"/>
  <bookViews>
    <workbookView xWindow="0" yWindow="660" windowWidth="28500" windowHeight="14240" tabRatio="500" xr2:uid="{00000000-000D-0000-FFFF-FFFF00000000}"/>
  </bookViews>
  <sheets>
    <sheet name="Read Me &amp; Assumptions" sheetId="1" r:id="rId1"/>
    <sheet name="Quarterly Summary" sheetId="2" r:id="rId2"/>
    <sheet name="Investor Metrics" sheetId="3" r:id="rId3"/>
    <sheet name="Use of Funds" sheetId="4" r:id="rId4"/>
    <sheet name="Revenue (monthly)" sheetId="5" r:id="rId5"/>
    <sheet name="Expenses (monthly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49" i="6" l="1"/>
  <c r="S49" i="6"/>
  <c r="R49" i="6"/>
  <c r="Q49" i="6"/>
  <c r="P49" i="6"/>
  <c r="O49" i="6"/>
  <c r="N49" i="6"/>
  <c r="M49" i="6"/>
  <c r="L49" i="6"/>
  <c r="K49" i="6"/>
  <c r="J49" i="6"/>
  <c r="I49" i="6"/>
  <c r="H49" i="6"/>
  <c r="U49" i="6" s="1"/>
  <c r="G49" i="6"/>
  <c r="F49" i="6"/>
  <c r="E49" i="6"/>
  <c r="D49" i="6"/>
  <c r="C49" i="6"/>
  <c r="T48" i="6"/>
  <c r="S48" i="6"/>
  <c r="R48" i="6"/>
  <c r="Q48" i="6"/>
  <c r="Q50" i="6" s="1"/>
  <c r="P48" i="6"/>
  <c r="O48" i="6"/>
  <c r="N48" i="6"/>
  <c r="M48" i="6"/>
  <c r="L48" i="6"/>
  <c r="K48" i="6"/>
  <c r="J48" i="6"/>
  <c r="I48" i="6"/>
  <c r="H48" i="6"/>
  <c r="G48" i="6"/>
  <c r="G50" i="6" s="1"/>
  <c r="F48" i="6"/>
  <c r="E48" i="6"/>
  <c r="D48" i="6"/>
  <c r="C48" i="6"/>
  <c r="U40" i="6"/>
  <c r="U39" i="6"/>
  <c r="U38" i="6"/>
  <c r="U37" i="6"/>
  <c r="U36" i="6"/>
  <c r="U35" i="6"/>
  <c r="U34" i="6"/>
  <c r="U33" i="6"/>
  <c r="U32" i="6"/>
  <c r="U31" i="6"/>
  <c r="U30" i="6"/>
  <c r="U28" i="6"/>
  <c r="U27" i="6"/>
  <c r="U26" i="6"/>
  <c r="U25" i="6"/>
  <c r="U24" i="6"/>
  <c r="U21" i="6"/>
  <c r="U20" i="6"/>
  <c r="U19" i="6"/>
  <c r="S18" i="6"/>
  <c r="P18" i="6"/>
  <c r="O18" i="6"/>
  <c r="M18" i="6"/>
  <c r="L18" i="6"/>
  <c r="I18" i="6"/>
  <c r="F18" i="6"/>
  <c r="E18" i="6"/>
  <c r="C18" i="6"/>
  <c r="S17" i="6"/>
  <c r="P17" i="6"/>
  <c r="O17" i="6"/>
  <c r="L17" i="6"/>
  <c r="I17" i="6"/>
  <c r="F17" i="6"/>
  <c r="E17" i="6"/>
  <c r="T16" i="6"/>
  <c r="S16" i="6"/>
  <c r="R16" i="6"/>
  <c r="Q16" i="6"/>
  <c r="Q17" i="6" s="1"/>
  <c r="P16" i="6"/>
  <c r="O16" i="6"/>
  <c r="N16" i="6"/>
  <c r="N17" i="6" s="1"/>
  <c r="M16" i="6"/>
  <c r="L16" i="6"/>
  <c r="K16" i="6"/>
  <c r="J16" i="6"/>
  <c r="I16" i="6"/>
  <c r="H16" i="6"/>
  <c r="G16" i="6"/>
  <c r="G17" i="6" s="1"/>
  <c r="F16" i="6"/>
  <c r="E16" i="6"/>
  <c r="D16" i="6"/>
  <c r="D17" i="6" s="1"/>
  <c r="C16" i="6"/>
  <c r="C37" i="5"/>
  <c r="W32" i="5"/>
  <c r="O32" i="5" s="1"/>
  <c r="E32" i="5"/>
  <c r="D32" i="5"/>
  <c r="W31" i="5"/>
  <c r="N31" i="5" s="1"/>
  <c r="W30" i="5"/>
  <c r="O30" i="5" s="1"/>
  <c r="W29" i="5"/>
  <c r="W28" i="5"/>
  <c r="N28" i="5" s="1"/>
  <c r="W27" i="5"/>
  <c r="O27" i="5" s="1"/>
  <c r="E27" i="5"/>
  <c r="W26" i="5"/>
  <c r="N26" i="5" s="1"/>
  <c r="W25" i="5"/>
  <c r="O25" i="5" s="1"/>
  <c r="N25" i="5"/>
  <c r="L25" i="5"/>
  <c r="E25" i="5"/>
  <c r="D25" i="5"/>
  <c r="W24" i="5"/>
  <c r="W23" i="5"/>
  <c r="N23" i="5" s="1"/>
  <c r="W22" i="5"/>
  <c r="O22" i="5" s="1"/>
  <c r="D22" i="5"/>
  <c r="W21" i="5"/>
  <c r="N21" i="5" s="1"/>
  <c r="O21" i="5"/>
  <c r="W20" i="5"/>
  <c r="O20" i="5" s="1"/>
  <c r="W19" i="5"/>
  <c r="W18" i="5"/>
  <c r="N18" i="5" s="1"/>
  <c r="O18" i="5"/>
  <c r="L18" i="5"/>
  <c r="W17" i="5"/>
  <c r="R40" i="5" s="1"/>
  <c r="E17" i="5"/>
  <c r="Q14" i="5"/>
  <c r="N14" i="5"/>
  <c r="M14" i="5"/>
  <c r="G14" i="5"/>
  <c r="D14" i="5"/>
  <c r="C14" i="5"/>
  <c r="T13" i="5"/>
  <c r="T14" i="5" s="1"/>
  <c r="S13" i="5"/>
  <c r="R13" i="5"/>
  <c r="Q13" i="5"/>
  <c r="P13" i="5"/>
  <c r="P14" i="5" s="1"/>
  <c r="O13" i="5"/>
  <c r="N13" i="5"/>
  <c r="M13" i="5"/>
  <c r="L13" i="5"/>
  <c r="K13" i="5"/>
  <c r="J13" i="5"/>
  <c r="J14" i="5" s="1"/>
  <c r="I13" i="5"/>
  <c r="H13" i="5"/>
  <c r="G13" i="5"/>
  <c r="F13" i="5"/>
  <c r="F14" i="5" s="1"/>
  <c r="E13" i="5"/>
  <c r="D13" i="5"/>
  <c r="C13" i="5"/>
  <c r="T12" i="5"/>
  <c r="S12" i="5"/>
  <c r="S14" i="5" s="1"/>
  <c r="R12" i="5"/>
  <c r="R14" i="5" s="1"/>
  <c r="Q12" i="5"/>
  <c r="P12" i="5"/>
  <c r="O12" i="5"/>
  <c r="O14" i="5" s="1"/>
  <c r="N12" i="5"/>
  <c r="M12" i="5"/>
  <c r="L12" i="5"/>
  <c r="K12" i="5"/>
  <c r="K14" i="5" s="1"/>
  <c r="J12" i="5"/>
  <c r="I12" i="5"/>
  <c r="I14" i="5" s="1"/>
  <c r="H12" i="5"/>
  <c r="H14" i="5" s="1"/>
  <c r="G12" i="5"/>
  <c r="F12" i="5"/>
  <c r="E12" i="5"/>
  <c r="E14" i="5" s="1"/>
  <c r="E50" i="6" s="1"/>
  <c r="D12" i="5"/>
  <c r="C12" i="5"/>
  <c r="T9" i="5"/>
  <c r="N9" i="5"/>
  <c r="K9" i="5"/>
  <c r="J9" i="5"/>
  <c r="D9" i="5"/>
  <c r="T8" i="5"/>
  <c r="S8" i="5"/>
  <c r="R8" i="5"/>
  <c r="Q8" i="5"/>
  <c r="P8" i="5"/>
  <c r="O8" i="5"/>
  <c r="N8" i="5"/>
  <c r="M8" i="5"/>
  <c r="M9" i="5" s="1"/>
  <c r="L8" i="5"/>
  <c r="K8" i="5"/>
  <c r="J8" i="5"/>
  <c r="I8" i="5"/>
  <c r="H8" i="5"/>
  <c r="G8" i="5"/>
  <c r="F8" i="5"/>
  <c r="E8" i="5"/>
  <c r="D8" i="5"/>
  <c r="C8" i="5"/>
  <c r="C9" i="5" s="1"/>
  <c r="T7" i="5"/>
  <c r="S7" i="5"/>
  <c r="R7" i="5"/>
  <c r="Q7" i="5"/>
  <c r="P7" i="5"/>
  <c r="P9" i="5" s="1"/>
  <c r="O7" i="5"/>
  <c r="N7" i="5"/>
  <c r="M7" i="5"/>
  <c r="L7" i="5"/>
  <c r="L9" i="5" s="1"/>
  <c r="K7" i="5"/>
  <c r="J7" i="5"/>
  <c r="I7" i="5"/>
  <c r="H7" i="5"/>
  <c r="G7" i="5"/>
  <c r="F7" i="5"/>
  <c r="E7" i="5"/>
  <c r="D7" i="5"/>
  <c r="C7" i="5"/>
  <c r="T6" i="5"/>
  <c r="S6" i="5"/>
  <c r="R6" i="5"/>
  <c r="R9" i="5" s="1"/>
  <c r="Q6" i="5"/>
  <c r="Q9" i="5" s="1"/>
  <c r="P6" i="5"/>
  <c r="O6" i="5"/>
  <c r="O9" i="5" s="1"/>
  <c r="N6" i="5"/>
  <c r="M6" i="5"/>
  <c r="L6" i="5"/>
  <c r="K6" i="5"/>
  <c r="J6" i="5"/>
  <c r="I6" i="5"/>
  <c r="H6" i="5"/>
  <c r="G6" i="5"/>
  <c r="G9" i="5" s="1"/>
  <c r="F6" i="5"/>
  <c r="E6" i="5"/>
  <c r="D6" i="5"/>
  <c r="C6" i="5"/>
  <c r="F13" i="4"/>
  <c r="E11" i="4"/>
  <c r="D11" i="4"/>
  <c r="C11" i="4"/>
  <c r="E10" i="4"/>
  <c r="D10" i="4"/>
  <c r="C10" i="4"/>
  <c r="E9" i="4"/>
  <c r="D9" i="4"/>
  <c r="C9" i="4"/>
  <c r="C47" i="2"/>
  <c r="I34" i="2"/>
  <c r="H34" i="2"/>
  <c r="G34" i="2"/>
  <c r="F34" i="2"/>
  <c r="E34" i="2"/>
  <c r="D34" i="2"/>
  <c r="C34" i="2"/>
  <c r="H33" i="2"/>
  <c r="G33" i="2"/>
  <c r="F33" i="2"/>
  <c r="E33" i="2"/>
  <c r="D33" i="2"/>
  <c r="C33" i="2"/>
  <c r="I33" i="2" s="1"/>
  <c r="H32" i="2"/>
  <c r="G32" i="2"/>
  <c r="F32" i="2"/>
  <c r="E32" i="2"/>
  <c r="D32" i="2"/>
  <c r="C32" i="2"/>
  <c r="I32" i="2" s="1"/>
  <c r="I31" i="2"/>
  <c r="H31" i="2"/>
  <c r="G31" i="2"/>
  <c r="F31" i="2"/>
  <c r="E31" i="2"/>
  <c r="D31" i="2"/>
  <c r="C31" i="2"/>
  <c r="H30" i="2"/>
  <c r="G30" i="2"/>
  <c r="F30" i="2"/>
  <c r="E30" i="2"/>
  <c r="D30" i="2"/>
  <c r="C30" i="2"/>
  <c r="I30" i="2" s="1"/>
  <c r="H29" i="2"/>
  <c r="G29" i="2"/>
  <c r="F29" i="2"/>
  <c r="E29" i="2"/>
  <c r="D29" i="2"/>
  <c r="C29" i="2"/>
  <c r="I29" i="2" s="1"/>
  <c r="I28" i="2"/>
  <c r="H28" i="2"/>
  <c r="G28" i="2"/>
  <c r="F28" i="2"/>
  <c r="E28" i="2"/>
  <c r="D28" i="2"/>
  <c r="C28" i="2"/>
  <c r="H27" i="2"/>
  <c r="G27" i="2"/>
  <c r="F27" i="2"/>
  <c r="E27" i="2"/>
  <c r="D27" i="2"/>
  <c r="I27" i="2" s="1"/>
  <c r="C27" i="2"/>
  <c r="H26" i="2"/>
  <c r="G26" i="2"/>
  <c r="F26" i="2"/>
  <c r="E26" i="2"/>
  <c r="D26" i="2"/>
  <c r="C26" i="2"/>
  <c r="I26" i="2" s="1"/>
  <c r="I25" i="2"/>
  <c r="H25" i="2"/>
  <c r="G25" i="2"/>
  <c r="F25" i="2"/>
  <c r="E25" i="2"/>
  <c r="D25" i="2"/>
  <c r="C25" i="2"/>
  <c r="H24" i="2"/>
  <c r="G24" i="2"/>
  <c r="F24" i="2"/>
  <c r="I24" i="2" s="1"/>
  <c r="E24" i="2"/>
  <c r="D24" i="2"/>
  <c r="C24" i="2"/>
  <c r="H22" i="2"/>
  <c r="G22" i="2"/>
  <c r="F22" i="2"/>
  <c r="E22" i="2"/>
  <c r="D22" i="2"/>
  <c r="C22" i="2"/>
  <c r="I22" i="2" s="1"/>
  <c r="I21" i="2"/>
  <c r="H21" i="2"/>
  <c r="G21" i="2"/>
  <c r="F21" i="2"/>
  <c r="E21" i="2"/>
  <c r="D21" i="2"/>
  <c r="C21" i="2"/>
  <c r="H20" i="2"/>
  <c r="G20" i="2"/>
  <c r="F20" i="2"/>
  <c r="E20" i="2"/>
  <c r="D20" i="2"/>
  <c r="C20" i="2"/>
  <c r="I20" i="2" s="1"/>
  <c r="H19" i="2"/>
  <c r="G19" i="2"/>
  <c r="F19" i="2"/>
  <c r="E19" i="2"/>
  <c r="D19" i="2"/>
  <c r="C19" i="2"/>
  <c r="I19" i="2" s="1"/>
  <c r="I18" i="2"/>
  <c r="H18" i="2"/>
  <c r="G18" i="2"/>
  <c r="F18" i="2"/>
  <c r="E18" i="2"/>
  <c r="D18" i="2"/>
  <c r="C18" i="2"/>
  <c r="H17" i="2"/>
  <c r="G17" i="2"/>
  <c r="F17" i="2"/>
  <c r="E17" i="2"/>
  <c r="D17" i="2"/>
  <c r="I17" i="2" s="1"/>
  <c r="C17" i="2"/>
  <c r="H16" i="2"/>
  <c r="G16" i="2"/>
  <c r="F16" i="2"/>
  <c r="E16" i="2"/>
  <c r="D16" i="2"/>
  <c r="C16" i="2"/>
  <c r="I16" i="2" s="1"/>
  <c r="G14" i="2"/>
  <c r="H13" i="2"/>
  <c r="G13" i="2"/>
  <c r="F13" i="2"/>
  <c r="E13" i="2"/>
  <c r="D13" i="2"/>
  <c r="C13" i="2"/>
  <c r="I13" i="2" s="1"/>
  <c r="H8" i="2"/>
  <c r="G8" i="2"/>
  <c r="D8" i="2"/>
  <c r="C8" i="2"/>
  <c r="G7" i="2"/>
  <c r="D20" i="5" l="1"/>
  <c r="L23" i="5"/>
  <c r="S41" i="5"/>
  <c r="S29" i="6" s="1"/>
  <c r="S41" i="6" s="1"/>
  <c r="L30" i="5"/>
  <c r="E20" i="5"/>
  <c r="O23" i="5"/>
  <c r="D27" i="5"/>
  <c r="N30" i="5"/>
  <c r="L20" i="5"/>
  <c r="D17" i="5"/>
  <c r="N20" i="5"/>
  <c r="O31" i="5"/>
  <c r="L28" i="5"/>
  <c r="O28" i="5"/>
  <c r="E22" i="5"/>
  <c r="D30" i="5"/>
  <c r="O26" i="5"/>
  <c r="E30" i="5"/>
  <c r="F40" i="5"/>
  <c r="K50" i="6"/>
  <c r="E8" i="2"/>
  <c r="E18" i="5"/>
  <c r="M19" i="5"/>
  <c r="C19" i="5"/>
  <c r="K19" i="5"/>
  <c r="T19" i="5"/>
  <c r="J19" i="5"/>
  <c r="S19" i="5"/>
  <c r="I19" i="5"/>
  <c r="R19" i="5"/>
  <c r="H19" i="5"/>
  <c r="Q19" i="5"/>
  <c r="G19" i="5"/>
  <c r="P19" i="5"/>
  <c r="F19" i="5"/>
  <c r="E23" i="5"/>
  <c r="M24" i="5"/>
  <c r="C24" i="5"/>
  <c r="K24" i="5"/>
  <c r="T24" i="5"/>
  <c r="J24" i="5"/>
  <c r="S24" i="5"/>
  <c r="I24" i="5"/>
  <c r="R24" i="5"/>
  <c r="H24" i="5"/>
  <c r="Q24" i="5"/>
  <c r="G24" i="5"/>
  <c r="P24" i="5"/>
  <c r="F24" i="5"/>
  <c r="E28" i="5"/>
  <c r="M29" i="5"/>
  <c r="C29" i="5"/>
  <c r="K29" i="5"/>
  <c r="T29" i="5"/>
  <c r="J29" i="5"/>
  <c r="S29" i="5"/>
  <c r="I29" i="5"/>
  <c r="R29" i="5"/>
  <c r="H29" i="5"/>
  <c r="Q29" i="5"/>
  <c r="G29" i="5"/>
  <c r="P29" i="5"/>
  <c r="F29" i="5"/>
  <c r="I41" i="5"/>
  <c r="H17" i="6"/>
  <c r="D14" i="2" s="1"/>
  <c r="H18" i="6"/>
  <c r="R17" i="6"/>
  <c r="H14" i="2" s="1"/>
  <c r="R18" i="6"/>
  <c r="J50" i="6"/>
  <c r="T50" i="6"/>
  <c r="H9" i="5"/>
  <c r="J41" i="5"/>
  <c r="J29" i="6" s="1"/>
  <c r="J41" i="6" s="1"/>
  <c r="J43" i="6" s="1"/>
  <c r="S43" i="6"/>
  <c r="I9" i="5"/>
  <c r="S9" i="5"/>
  <c r="M21" i="5"/>
  <c r="C21" i="5"/>
  <c r="K21" i="5"/>
  <c r="T21" i="5"/>
  <c r="J21" i="5"/>
  <c r="S21" i="5"/>
  <c r="I21" i="5"/>
  <c r="R21" i="5"/>
  <c r="H21" i="5"/>
  <c r="Q21" i="5"/>
  <c r="G21" i="5"/>
  <c r="P21" i="5"/>
  <c r="F21" i="5"/>
  <c r="M26" i="5"/>
  <c r="C26" i="5"/>
  <c r="K26" i="5"/>
  <c r="T26" i="5"/>
  <c r="J26" i="5"/>
  <c r="S26" i="5"/>
  <c r="I26" i="5"/>
  <c r="R26" i="5"/>
  <c r="H26" i="5"/>
  <c r="Q26" i="5"/>
  <c r="G26" i="5"/>
  <c r="P26" i="5"/>
  <c r="F26" i="5"/>
  <c r="M31" i="5"/>
  <c r="C31" i="5"/>
  <c r="K31" i="5"/>
  <c r="T31" i="5"/>
  <c r="J31" i="5"/>
  <c r="S31" i="5"/>
  <c r="I31" i="5"/>
  <c r="R31" i="5"/>
  <c r="H31" i="5"/>
  <c r="Q31" i="5"/>
  <c r="G31" i="5"/>
  <c r="P31" i="5"/>
  <c r="F31" i="5"/>
  <c r="Q41" i="5"/>
  <c r="Q29" i="6" s="1"/>
  <c r="Q41" i="6" s="1"/>
  <c r="J17" i="6"/>
  <c r="T17" i="6"/>
  <c r="K18" i="6"/>
  <c r="U16" i="6"/>
  <c r="T18" i="6"/>
  <c r="T43" i="6" s="1"/>
  <c r="C50" i="6"/>
  <c r="M50" i="6"/>
  <c r="M18" i="5"/>
  <c r="C18" i="5"/>
  <c r="K18" i="5"/>
  <c r="T18" i="5"/>
  <c r="J18" i="5"/>
  <c r="S18" i="5"/>
  <c r="I18" i="5"/>
  <c r="R18" i="5"/>
  <c r="H18" i="5"/>
  <c r="Q18" i="5"/>
  <c r="G18" i="5"/>
  <c r="P18" i="5"/>
  <c r="F18" i="5"/>
  <c r="M23" i="5"/>
  <c r="C23" i="5"/>
  <c r="K23" i="5"/>
  <c r="T23" i="5"/>
  <c r="J23" i="5"/>
  <c r="S23" i="5"/>
  <c r="I23" i="5"/>
  <c r="R23" i="5"/>
  <c r="H23" i="5"/>
  <c r="Q23" i="5"/>
  <c r="G23" i="5"/>
  <c r="P23" i="5"/>
  <c r="F23" i="5"/>
  <c r="M28" i="5"/>
  <c r="C28" i="5"/>
  <c r="K28" i="5"/>
  <c r="T28" i="5"/>
  <c r="J28" i="5"/>
  <c r="S28" i="5"/>
  <c r="I28" i="5"/>
  <c r="R28" i="5"/>
  <c r="H28" i="5"/>
  <c r="Q28" i="5"/>
  <c r="G28" i="5"/>
  <c r="P28" i="5"/>
  <c r="F28" i="5"/>
  <c r="H40" i="5"/>
  <c r="T41" i="5"/>
  <c r="T29" i="6" s="1"/>
  <c r="T41" i="6" s="1"/>
  <c r="D50" i="6"/>
  <c r="N50" i="6"/>
  <c r="L17" i="5"/>
  <c r="D19" i="5"/>
  <c r="D39" i="5" s="1"/>
  <c r="L22" i="5"/>
  <c r="D24" i="5"/>
  <c r="L27" i="5"/>
  <c r="D29" i="5"/>
  <c r="L32" i="5"/>
  <c r="I40" i="5"/>
  <c r="O50" i="6"/>
  <c r="U12" i="5"/>
  <c r="N17" i="5"/>
  <c r="N39" i="5" s="1"/>
  <c r="F10" i="3" s="1"/>
  <c r="E19" i="5"/>
  <c r="M20" i="5"/>
  <c r="C20" i="5"/>
  <c r="K20" i="5"/>
  <c r="T20" i="5"/>
  <c r="J20" i="5"/>
  <c r="S20" i="5"/>
  <c r="I20" i="5"/>
  <c r="R20" i="5"/>
  <c r="H20" i="5"/>
  <c r="Q20" i="5"/>
  <c r="G20" i="5"/>
  <c r="P20" i="5"/>
  <c r="F20" i="5"/>
  <c r="N22" i="5"/>
  <c r="E24" i="5"/>
  <c r="M25" i="5"/>
  <c r="C25" i="5"/>
  <c r="K25" i="5"/>
  <c r="T25" i="5"/>
  <c r="J25" i="5"/>
  <c r="S25" i="5"/>
  <c r="I25" i="5"/>
  <c r="R25" i="5"/>
  <c r="H25" i="5"/>
  <c r="Q25" i="5"/>
  <c r="G25" i="5"/>
  <c r="P25" i="5"/>
  <c r="F25" i="5"/>
  <c r="N27" i="5"/>
  <c r="E29" i="5"/>
  <c r="M30" i="5"/>
  <c r="C30" i="5"/>
  <c r="K30" i="5"/>
  <c r="T30" i="5"/>
  <c r="J30" i="5"/>
  <c r="S30" i="5"/>
  <c r="I30" i="5"/>
  <c r="R30" i="5"/>
  <c r="H30" i="5"/>
  <c r="Q30" i="5"/>
  <c r="G30" i="5"/>
  <c r="P30" i="5"/>
  <c r="F30" i="5"/>
  <c r="N32" i="5"/>
  <c r="P40" i="5"/>
  <c r="F50" i="6"/>
  <c r="P50" i="6"/>
  <c r="F9" i="5"/>
  <c r="U7" i="5"/>
  <c r="L14" i="5"/>
  <c r="F8" i="2" s="1"/>
  <c r="I8" i="2" s="1"/>
  <c r="U13" i="5"/>
  <c r="O17" i="5"/>
  <c r="L19" i="5"/>
  <c r="D21" i="5"/>
  <c r="L24" i="5"/>
  <c r="D26" i="5"/>
  <c r="L29" i="5"/>
  <c r="D31" i="5"/>
  <c r="E43" i="6"/>
  <c r="K17" i="6"/>
  <c r="K43" i="6" s="1"/>
  <c r="J18" i="6"/>
  <c r="E15" i="2" s="1"/>
  <c r="E9" i="5"/>
  <c r="U6" i="5"/>
  <c r="R41" i="5"/>
  <c r="H41" i="5"/>
  <c r="H29" i="6" s="1"/>
  <c r="H41" i="6" s="1"/>
  <c r="Q40" i="5"/>
  <c r="G40" i="5"/>
  <c r="D8" i="3" s="1"/>
  <c r="M17" i="5"/>
  <c r="C17" i="5"/>
  <c r="P41" i="5"/>
  <c r="P29" i="6" s="1"/>
  <c r="P41" i="6" s="1"/>
  <c r="P43" i="6" s="1"/>
  <c r="F41" i="5"/>
  <c r="O40" i="5"/>
  <c r="E40" i="5"/>
  <c r="K17" i="5"/>
  <c r="O41" i="5"/>
  <c r="E41" i="5"/>
  <c r="E29" i="6" s="1"/>
  <c r="E41" i="6" s="1"/>
  <c r="N40" i="5"/>
  <c r="D40" i="5"/>
  <c r="T17" i="5"/>
  <c r="J17" i="5"/>
  <c r="J33" i="5" s="1"/>
  <c r="J35" i="5" s="1"/>
  <c r="N41" i="5"/>
  <c r="N29" i="6" s="1"/>
  <c r="N41" i="6" s="1"/>
  <c r="D41" i="5"/>
  <c r="D29" i="6" s="1"/>
  <c r="D41" i="6" s="1"/>
  <c r="M40" i="5"/>
  <c r="C40" i="5"/>
  <c r="S17" i="5"/>
  <c r="S39" i="5" s="1"/>
  <c r="I17" i="5"/>
  <c r="I39" i="5" s="1"/>
  <c r="M41" i="5"/>
  <c r="M29" i="6" s="1"/>
  <c r="M41" i="6" s="1"/>
  <c r="C41" i="5"/>
  <c r="L40" i="5"/>
  <c r="F8" i="3" s="1"/>
  <c r="R17" i="5"/>
  <c r="H17" i="5"/>
  <c r="L41" i="5"/>
  <c r="K40" i="5"/>
  <c r="Q17" i="5"/>
  <c r="G17" i="5"/>
  <c r="K41" i="5"/>
  <c r="K29" i="6" s="1"/>
  <c r="K41" i="6" s="1"/>
  <c r="T40" i="5"/>
  <c r="J40" i="5"/>
  <c r="P17" i="5"/>
  <c r="P39" i="5" s="1"/>
  <c r="F17" i="5"/>
  <c r="N19" i="5"/>
  <c r="E21" i="5"/>
  <c r="M22" i="5"/>
  <c r="C22" i="5"/>
  <c r="K22" i="5"/>
  <c r="T22" i="5"/>
  <c r="J22" i="5"/>
  <c r="S22" i="5"/>
  <c r="I22" i="5"/>
  <c r="R22" i="5"/>
  <c r="H22" i="5"/>
  <c r="Q22" i="5"/>
  <c r="G22" i="5"/>
  <c r="P22" i="5"/>
  <c r="F22" i="5"/>
  <c r="N24" i="5"/>
  <c r="E26" i="5"/>
  <c r="M27" i="5"/>
  <c r="C27" i="5"/>
  <c r="K27" i="5"/>
  <c r="T27" i="5"/>
  <c r="J27" i="5"/>
  <c r="S27" i="5"/>
  <c r="I27" i="5"/>
  <c r="R27" i="5"/>
  <c r="H27" i="5"/>
  <c r="Q27" i="5"/>
  <c r="G27" i="5"/>
  <c r="G39" i="5" s="1"/>
  <c r="P27" i="5"/>
  <c r="F27" i="5"/>
  <c r="N29" i="5"/>
  <c r="E31" i="5"/>
  <c r="M32" i="5"/>
  <c r="C32" i="5"/>
  <c r="K32" i="5"/>
  <c r="T32" i="5"/>
  <c r="J32" i="5"/>
  <c r="S32" i="5"/>
  <c r="I32" i="5"/>
  <c r="R32" i="5"/>
  <c r="H32" i="5"/>
  <c r="Q32" i="5"/>
  <c r="G32" i="5"/>
  <c r="P32" i="5"/>
  <c r="F32" i="5"/>
  <c r="S40" i="5"/>
  <c r="H8" i="3" s="1"/>
  <c r="H50" i="6"/>
  <c r="R50" i="6"/>
  <c r="F7" i="2"/>
  <c r="D18" i="5"/>
  <c r="O19" i="5"/>
  <c r="L21" i="5"/>
  <c r="D23" i="5"/>
  <c r="O24" i="5"/>
  <c r="L26" i="5"/>
  <c r="D28" i="5"/>
  <c r="O29" i="5"/>
  <c r="L31" i="5"/>
  <c r="G41" i="5"/>
  <c r="G29" i="6" s="1"/>
  <c r="I50" i="6"/>
  <c r="S50" i="6"/>
  <c r="U8" i="5"/>
  <c r="C17" i="6"/>
  <c r="M17" i="6"/>
  <c r="F14" i="2" s="1"/>
  <c r="D18" i="6"/>
  <c r="C15" i="2" s="1"/>
  <c r="N18" i="6"/>
  <c r="F15" i="2" s="1"/>
  <c r="U48" i="6"/>
  <c r="G18" i="6"/>
  <c r="Q18" i="6"/>
  <c r="E39" i="5" l="1"/>
  <c r="C10" i="3" s="1"/>
  <c r="M39" i="5"/>
  <c r="R33" i="5"/>
  <c r="C39" i="5"/>
  <c r="Q39" i="5"/>
  <c r="G10" i="3" s="1"/>
  <c r="H7" i="3" s="1"/>
  <c r="D33" i="5"/>
  <c r="D35" i="5" s="1"/>
  <c r="T33" i="5"/>
  <c r="T35" i="5" s="1"/>
  <c r="K39" i="5"/>
  <c r="E10" i="3" s="1"/>
  <c r="K44" i="6"/>
  <c r="K45" i="6" s="1"/>
  <c r="D7" i="3"/>
  <c r="C12" i="3"/>
  <c r="C11" i="3"/>
  <c r="J44" i="6"/>
  <c r="J45" i="6" s="1"/>
  <c r="F7" i="3"/>
  <c r="F12" i="3" s="1"/>
  <c r="T44" i="6"/>
  <c r="T45" i="6" s="1"/>
  <c r="F33" i="5"/>
  <c r="D9" i="2" s="1"/>
  <c r="H20" i="3"/>
  <c r="H21" i="3" s="1"/>
  <c r="R29" i="6"/>
  <c r="D15" i="2"/>
  <c r="G41" i="6"/>
  <c r="G43" i="6" s="1"/>
  <c r="L29" i="6"/>
  <c r="F20" i="3"/>
  <c r="F21" i="3" s="1"/>
  <c r="G8" i="3"/>
  <c r="C7" i="2"/>
  <c r="U14" i="5"/>
  <c r="F39" i="5"/>
  <c r="H33" i="5"/>
  <c r="H35" i="5" s="1"/>
  <c r="F29" i="6"/>
  <c r="D20" i="3"/>
  <c r="D21" i="3" s="1"/>
  <c r="O33" i="5"/>
  <c r="T39" i="5"/>
  <c r="U31" i="5"/>
  <c r="E7" i="2"/>
  <c r="H43" i="6"/>
  <c r="P44" i="6"/>
  <c r="P45" i="6"/>
  <c r="U28" i="5"/>
  <c r="J39" i="5"/>
  <c r="S44" i="6"/>
  <c r="S45" i="6" s="1"/>
  <c r="U27" i="5"/>
  <c r="P33" i="5"/>
  <c r="P35" i="5" s="1"/>
  <c r="C33" i="5"/>
  <c r="U17" i="5"/>
  <c r="L33" i="5"/>
  <c r="L35" i="5" s="1"/>
  <c r="L50" i="6"/>
  <c r="U50" i="6" s="1"/>
  <c r="U24" i="5"/>
  <c r="E33" i="5"/>
  <c r="E35" i="5" s="1"/>
  <c r="U41" i="5"/>
  <c r="C29" i="6"/>
  <c r="C20" i="3"/>
  <c r="M33" i="5"/>
  <c r="M35" i="5" s="1"/>
  <c r="E44" i="6"/>
  <c r="E45" i="6" s="1"/>
  <c r="U30" i="5"/>
  <c r="U20" i="5"/>
  <c r="M43" i="6"/>
  <c r="L39" i="5"/>
  <c r="U26" i="5"/>
  <c r="D7" i="4"/>
  <c r="U23" i="5"/>
  <c r="U18" i="6"/>
  <c r="I29" i="6"/>
  <c r="D8" i="4" s="1"/>
  <c r="E20" i="3"/>
  <c r="E21" i="3" s="1"/>
  <c r="H39" i="5"/>
  <c r="D10" i="3" s="1"/>
  <c r="I33" i="5"/>
  <c r="F11" i="3"/>
  <c r="F9" i="3" s="1"/>
  <c r="G7" i="3"/>
  <c r="E8" i="3"/>
  <c r="O39" i="5"/>
  <c r="G33" i="5"/>
  <c r="G35" i="5" s="1"/>
  <c r="S33" i="5"/>
  <c r="S35" i="5" s="1"/>
  <c r="T37" i="5" s="1"/>
  <c r="O29" i="6"/>
  <c r="G20" i="3"/>
  <c r="G21" i="3" s="1"/>
  <c r="N33" i="5"/>
  <c r="N35" i="5" s="1"/>
  <c r="O37" i="5" s="1"/>
  <c r="E14" i="2"/>
  <c r="U21" i="5"/>
  <c r="U19" i="5"/>
  <c r="U9" i="5"/>
  <c r="D43" i="6"/>
  <c r="G15" i="2"/>
  <c r="I15" i="2" s="1"/>
  <c r="Q43" i="6"/>
  <c r="U32" i="5"/>
  <c r="U22" i="5"/>
  <c r="Q33" i="5"/>
  <c r="Q35" i="5" s="1"/>
  <c r="R37" i="5" s="1"/>
  <c r="U40" i="5"/>
  <c r="C8" i="3"/>
  <c r="K33" i="5"/>
  <c r="K35" i="5" s="1"/>
  <c r="L37" i="5" s="1"/>
  <c r="U18" i="5"/>
  <c r="H7" i="2"/>
  <c r="N43" i="6"/>
  <c r="E7" i="4"/>
  <c r="C7" i="4"/>
  <c r="U17" i="6"/>
  <c r="C14" i="2"/>
  <c r="D7" i="2"/>
  <c r="F35" i="5"/>
  <c r="U25" i="5"/>
  <c r="R39" i="5"/>
  <c r="H15" i="2"/>
  <c r="U29" i="5"/>
  <c r="R35" i="5"/>
  <c r="U39" i="5" l="1"/>
  <c r="G12" i="3"/>
  <c r="E9" i="2"/>
  <c r="N37" i="5"/>
  <c r="F37" i="5"/>
  <c r="I37" i="5"/>
  <c r="G44" i="6"/>
  <c r="D10" i="2"/>
  <c r="G37" i="5"/>
  <c r="U29" i="6"/>
  <c r="E8" i="4"/>
  <c r="C8" i="4"/>
  <c r="C41" i="6"/>
  <c r="C23" i="2"/>
  <c r="M37" i="5"/>
  <c r="F10" i="2"/>
  <c r="R41" i="6"/>
  <c r="R43" i="6" s="1"/>
  <c r="H23" i="2"/>
  <c r="H10" i="3"/>
  <c r="C50" i="2"/>
  <c r="I14" i="2"/>
  <c r="G9" i="2"/>
  <c r="O35" i="5"/>
  <c r="I7" i="2"/>
  <c r="G11" i="3"/>
  <c r="G9" i="3" s="1"/>
  <c r="H9" i="2"/>
  <c r="M44" i="6"/>
  <c r="M45" i="6"/>
  <c r="D23" i="2"/>
  <c r="F41" i="6"/>
  <c r="F43" i="6" s="1"/>
  <c r="G23" i="2"/>
  <c r="O41" i="6"/>
  <c r="O43" i="6" s="1"/>
  <c r="L41" i="6"/>
  <c r="L43" i="6" s="1"/>
  <c r="F23" i="2"/>
  <c r="C9" i="3"/>
  <c r="F9" i="2"/>
  <c r="D11" i="3"/>
  <c r="D9" i="3" s="1"/>
  <c r="E7" i="3"/>
  <c r="N44" i="6"/>
  <c r="N45" i="6"/>
  <c r="I41" i="6"/>
  <c r="I43" i="6" s="1"/>
  <c r="E23" i="2"/>
  <c r="D12" i="3"/>
  <c r="S37" i="5"/>
  <c r="H42" i="2" s="1"/>
  <c r="H10" i="2"/>
  <c r="Q44" i="6"/>
  <c r="Q45" i="6" s="1"/>
  <c r="U33" i="5"/>
  <c r="C9" i="2"/>
  <c r="C35" i="5"/>
  <c r="H37" i="5"/>
  <c r="H44" i="6"/>
  <c r="H45" i="6" s="1"/>
  <c r="D44" i="6"/>
  <c r="D45" i="6"/>
  <c r="C21" i="3"/>
  <c r="Q37" i="5"/>
  <c r="I35" i="5"/>
  <c r="F42" i="2" l="1"/>
  <c r="C38" i="3"/>
  <c r="H11" i="3"/>
  <c r="H9" i="3" s="1"/>
  <c r="H12" i="3"/>
  <c r="L44" i="6"/>
  <c r="F35" i="2" s="1"/>
  <c r="L45" i="6"/>
  <c r="F36" i="2" s="1"/>
  <c r="F43" i="2" s="1"/>
  <c r="H22" i="3"/>
  <c r="C39" i="3" s="1"/>
  <c r="F22" i="3"/>
  <c r="D22" i="3"/>
  <c r="O44" i="6"/>
  <c r="G35" i="2" s="1"/>
  <c r="R44" i="6"/>
  <c r="H35" i="2" s="1"/>
  <c r="R45" i="6"/>
  <c r="H36" i="2" s="1"/>
  <c r="H43" i="2" s="1"/>
  <c r="I44" i="6"/>
  <c r="E35" i="2" s="1"/>
  <c r="U35" i="5"/>
  <c r="C10" i="2"/>
  <c r="D37" i="5"/>
  <c r="E37" i="5"/>
  <c r="I23" i="2"/>
  <c r="J37" i="5"/>
  <c r="E10" i="2"/>
  <c r="K37" i="5"/>
  <c r="E12" i="3"/>
  <c r="E11" i="3"/>
  <c r="E9" i="3" s="1"/>
  <c r="P37" i="5"/>
  <c r="G42" i="2" s="1"/>
  <c r="G10" i="2"/>
  <c r="U41" i="6"/>
  <c r="C43" i="6"/>
  <c r="I9" i="2"/>
  <c r="F44" i="6"/>
  <c r="D35" i="2" s="1"/>
  <c r="D42" i="2"/>
  <c r="G45" i="6"/>
  <c r="F45" i="6" l="1"/>
  <c r="D36" i="2" s="1"/>
  <c r="D43" i="2" s="1"/>
  <c r="E42" i="2"/>
  <c r="D17" i="4"/>
  <c r="D18" i="4" s="1"/>
  <c r="E22" i="3"/>
  <c r="D12" i="4"/>
  <c r="D13" i="4" s="1"/>
  <c r="D19" i="4" s="1"/>
  <c r="C22" i="3"/>
  <c r="I10" i="2"/>
  <c r="C36" i="3" s="1"/>
  <c r="O45" i="6"/>
  <c r="G36" i="2" s="1"/>
  <c r="G43" i="2" s="1"/>
  <c r="C44" i="6"/>
  <c r="C45" i="6" s="1"/>
  <c r="U43" i="6"/>
  <c r="C17" i="4"/>
  <c r="C18" i="4" s="1"/>
  <c r="C42" i="2"/>
  <c r="E17" i="4"/>
  <c r="E18" i="4" s="1"/>
  <c r="U37" i="5"/>
  <c r="D38" i="2"/>
  <c r="G22" i="3"/>
  <c r="F38" i="2"/>
  <c r="I45" i="6"/>
  <c r="E36" i="2" s="1"/>
  <c r="E43" i="2" s="1"/>
  <c r="H38" i="2"/>
  <c r="E38" i="2" l="1"/>
  <c r="I42" i="2"/>
  <c r="U45" i="6"/>
  <c r="C36" i="2"/>
  <c r="U44" i="6"/>
  <c r="E12" i="4"/>
  <c r="E13" i="4" s="1"/>
  <c r="C12" i="4"/>
  <c r="C13" i="4" s="1"/>
  <c r="C19" i="4" s="1"/>
  <c r="C35" i="2"/>
  <c r="I35" i="2" s="1"/>
  <c r="G38" i="2"/>
  <c r="F9" i="4" l="1"/>
  <c r="F11" i="4"/>
  <c r="E21" i="4"/>
  <c r="F8" i="4"/>
  <c r="E19" i="4"/>
  <c r="F7" i="4"/>
  <c r="F10" i="4"/>
  <c r="F12" i="4"/>
  <c r="C43" i="2"/>
  <c r="I36" i="2"/>
  <c r="C38" i="2"/>
  <c r="I43" i="2" l="1"/>
  <c r="C39" i="2"/>
  <c r="I38" i="2"/>
  <c r="C37" i="3" l="1"/>
  <c r="C51" i="2"/>
  <c r="D39" i="2"/>
  <c r="C44" i="2"/>
  <c r="C45" i="2" l="1"/>
  <c r="D44" i="2"/>
  <c r="D45" i="2" s="1"/>
  <c r="D27" i="3" s="1"/>
  <c r="E39" i="2"/>
  <c r="F39" i="2" l="1"/>
  <c r="E44" i="2"/>
  <c r="E45" i="2" s="1"/>
  <c r="E27" i="3" s="1"/>
  <c r="C27" i="3"/>
  <c r="C46" i="2"/>
  <c r="C28" i="3" l="1"/>
  <c r="D46" i="2"/>
  <c r="C48" i="2"/>
  <c r="F44" i="2"/>
  <c r="G39" i="2"/>
  <c r="H39" i="2" l="1"/>
  <c r="H44" i="2" s="1"/>
  <c r="H45" i="2" s="1"/>
  <c r="H27" i="3" s="1"/>
  <c r="G44" i="2"/>
  <c r="G45" i="2" s="1"/>
  <c r="G27" i="3" s="1"/>
  <c r="F45" i="2"/>
  <c r="I44" i="2"/>
  <c r="D28" i="3"/>
  <c r="D48" i="2"/>
  <c r="E46" i="2"/>
  <c r="E48" i="2" l="1"/>
  <c r="E28" i="3"/>
  <c r="F46" i="2"/>
  <c r="F27" i="3"/>
  <c r="I45" i="2"/>
  <c r="C42" i="3"/>
  <c r="F28" i="3" l="1"/>
  <c r="F48" i="2"/>
  <c r="G46" i="2"/>
  <c r="H46" i="2" l="1"/>
  <c r="G28" i="3"/>
  <c r="G48" i="2"/>
  <c r="H28" i="3" l="1"/>
  <c r="H48" i="2"/>
  <c r="C40" i="3"/>
  <c r="C43" i="3"/>
  <c r="C4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4" authorId="0" shapeId="0" xr:uid="{00000000-0006-0000-0100-000001000000}">
      <text>
        <r>
          <rPr>
            <sz val="10"/>
            <rFont val="Arial"/>
            <family val="2"/>
          </rPr>
          <t>Indicative only. Applied to positive quarterly profit once cumulative net is positive. Effective rate set below the 25% headline to reflect b/f losses, R&amp;D relief and the small-profits position. Edit the rate in the cell to the right.</t>
        </r>
      </text>
    </comment>
    <comment ref="B47" authorId="0" shapeId="0" xr:uid="{00000000-0006-0000-0100-000002000000}">
      <text>
        <r>
          <rPr>
            <sz val="10"/>
            <rFont val="Arial"/>
            <family val="2"/>
          </rPr>
          <t>£1.5M in two tranches: £400k SEIS in Jul-26 (M1) and £1.1M EIS in Nov-26 (M5). Only £400k is available through M4; the £1.1M lands at the start of M5 (within Q2). Hiring is hand-set lean so cash stays positive across the gap.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6" authorId="0" shapeId="0" xr:uid="{00000000-0006-0000-0500-000001000000}">
      <text>
        <r>
          <rPr>
            <sz val="10"/>
            <rFont val="Arial"/>
            <family val="2"/>
          </rPr>
          <t>Fixed salary £95k/yr EACH (CEO + CTO) = £190k/yr combined (£15.83k/mo). Flat fixed pay, no bonus in this version.</t>
        </r>
      </text>
    </comment>
    <comment ref="B7" authorId="0" shapeId="0" xr:uid="{00000000-0006-0000-0500-000002000000}">
      <text>
        <r>
          <rPr>
            <sz val="10"/>
            <rFont val="Arial"/>
            <family val="2"/>
          </rPr>
          <t>Senior AI / infra engineer. 1 FTE from M1; +1 the month after the £1.1M tranche (M6). Gross ~£102k/yr.</t>
        </r>
      </text>
    </comment>
    <comment ref="B8" authorId="0" shapeId="0" xr:uid="{00000000-0006-0000-0500-000003000000}">
      <text>
        <r>
          <rPr>
            <sz val="10"/>
            <rFont val="Arial"/>
            <family val="2"/>
          </rPr>
          <t>Account executive. 0.5 from M1, 1.0 from M2; +1 from Nov-26 (M5); +1 from Jan-27 (M7) → 3.0. Gross base ~£66k/yr; commission sits in S&amp;M.</t>
        </r>
      </text>
    </comment>
    <comment ref="B9" authorId="0" shapeId="0" xr:uid="{00000000-0006-0000-0500-000004000000}">
      <text>
        <r>
          <rPr>
            <sz val="10"/>
            <rFont val="Arial"/>
            <family val="2"/>
          </rPr>
          <t>Coordinates ALL project / delivery tasks across clients. From M2. Gross ~£66k/yr.</t>
        </r>
      </text>
    </comment>
    <comment ref="B10" authorId="0" shapeId="0" xr:uid="{00000000-0006-0000-0500-000005000000}">
      <text>
        <r>
          <rPr>
            <sz val="10"/>
            <rFont val="Arial"/>
            <family val="2"/>
          </rPr>
          <t>1 from M3; 2nd from Jan-27 (M7). Client-facing analytics (counted as cost-to-serve in COGS). Gross ~£54k/yr.</t>
        </r>
      </text>
    </comment>
    <comment ref="B11" authorId="0" shapeId="0" xr:uid="{00000000-0006-0000-0500-000006000000}">
      <text>
        <r>
          <rPr>
            <sz val="10"/>
            <rFont val="Arial"/>
            <family val="2"/>
          </rPr>
          <t>From M3. Product + client-integration build/serve. Gross ~£78k/yr.</t>
        </r>
      </text>
    </comment>
    <comment ref="B12" authorId="0" shapeId="0" xr:uid="{00000000-0006-0000-0500-000007000000}">
      <text>
        <r>
          <rPr>
            <sz val="10"/>
            <rFont val="Arial"/>
            <family val="2"/>
          </rPr>
          <t>Forward-deployed engineer (on-site client delivery). From Dec-26 (M6). Gross ~£84k/yr. Counted as cost-to-serve in COGS.</t>
        </r>
      </text>
    </comment>
    <comment ref="B13" authorId="0" shapeId="0" xr:uid="{00000000-0006-0000-0500-000008000000}">
      <text>
        <r>
          <rPr>
            <sz val="10"/>
            <rFont val="Arial"/>
            <family val="2"/>
          </rPr>
          <t>Senior delivery lead, from the month after the £1.1M tranche (M6). Gross ~£114k/yr. Counted as cost-to-serve.</t>
        </r>
      </text>
    </comment>
    <comment ref="B14" authorId="0" shapeId="0" xr:uid="{00000000-0006-0000-0500-000009000000}">
      <text>
        <r>
          <rPr>
            <sz val="10"/>
            <rFont val="Arial"/>
            <family val="2"/>
          </rPr>
          <t>R&amp;D / university liaison / IP. From Dec-26 (M6). Gross ~£78k/yr. R&amp;D opex (not cost-to-serve).</t>
        </r>
      </text>
    </comment>
    <comment ref="B15" authorId="0" shapeId="0" xr:uid="{00000000-0006-0000-0500-00000A000000}">
      <text>
        <r>
          <rPr>
            <sz val="10"/>
            <rFont val="Arial"/>
            <family val="2"/>
          </rPr>
          <t>Marketing specialist: 0.5 FTE from Dec-26 (M6), → 1.0 from Mar-27 (M9). Gross ~£54k/yr full-time. S&amp;M / opex.</t>
        </r>
      </text>
    </comment>
    <comment ref="B17" authorId="0" shapeId="0" xr:uid="{00000000-0006-0000-0500-00000B000000}">
      <text>
        <r>
          <rPr>
            <sz val="10"/>
            <rFont val="Arial"/>
            <family val="2"/>
          </rPr>
          <t>Employer National Insurance, 15% on earnings above the £5k secondary threshold (rate from Apr-2025), applied to gross employee pay (staff payroll). Advisors are contractors (excluded); KTP is shown net of grant.</t>
        </r>
      </text>
    </comment>
    <comment ref="B18" authorId="0" shapeId="0" xr:uid="{00000000-0006-0000-0500-00000C000000}">
      <text>
        <r>
          <rPr>
            <sz val="10"/>
            <rFont val="Arial"/>
            <family val="2"/>
          </rPr>
          <t>Corporate (employer) contribution to the workplace pension fund — auto-enrolment legal MINIMUM is 3% of qualifying earnings. Modelled at 3% of gross pay; raise the % to offer a more competitive package for hiring.</t>
        </r>
      </text>
    </comment>
    <comment ref="B19" authorId="0" shapeId="0" xr:uid="{00000000-0006-0000-0500-00000D000000}">
      <text>
        <r>
          <rPr>
            <sz val="10"/>
            <rFont val="Arial"/>
            <family val="2"/>
          </rPr>
          <t>Advisors are EX-SENIOR MANAGERS of our key target accounts (e.g. Medtronic). They are door-openers into those target enterprises AND in-account deal facilitators — they push the deal forward inside the target company. Low fixed retainer (£3k/mo) + success fees (next row) align them to closed business, not just advice.</t>
        </r>
      </text>
    </comment>
    <comment ref="B20" authorId="0" shapeId="0" xr:uid="{00000000-0006-0000-0500-00000E000000}">
      <text>
        <r>
          <rPr>
            <sz val="10"/>
            <rFont val="Arial"/>
            <family val="2"/>
          </rPr>
          <t>Success fees on advisor-facilitated deals (enterprise + MedTech/Clinical verticals only; platforms excluded): 7% of pilot fee (£90k enterprise pilot) at pilot start, and 3% of first-year licence + usage at contract signature (~£450k enterprise, £144k vertical). Paid only on closed deals — scales with traction, not time. Counted in CAC.</t>
        </r>
      </text>
    </comment>
    <comment ref="B21" authorId="0" shapeId="0" xr:uid="{00000000-0006-0000-0500-00000F000000}">
      <text>
        <r>
          <rPr>
            <sz val="10"/>
            <rFont val="Arial"/>
            <family val="2"/>
          </rPr>
          <t>Two Knowledge Transfer Partnership associates in R&amp;D from Q3 2027 (Jul-27). £2.5k/mo each shown = company-borne contribution; gross is higher but ~2/3 is Innovate UK grant-funded for an SME.</t>
        </r>
      </text>
    </comment>
    <comment ref="B24" authorId="0" shapeId="0" xr:uid="{00000000-0006-0000-0500-000010000000}">
      <text>
        <r>
          <rPr>
            <sz val="10"/>
            <rFont val="Arial"/>
            <family val="2"/>
          </rPr>
          <t>Hosting Forge for vertical clients + dev/CI/staging. Shown net of NVIDIA Inception credits.</t>
        </r>
      </text>
    </comment>
    <comment ref="B25" authorId="0" shapeId="0" xr:uid="{00000000-0006-0000-0500-000011000000}">
      <text>
        <r>
          <rPr>
            <sz val="10"/>
            <rFont val="Arial"/>
            <family val="2"/>
          </rPr>
          <t>System inference for vertical agents. Most is passed through to clients; only the on-P&amp;L residual is modelled.</t>
        </r>
      </text>
    </comment>
    <comment ref="B26" authorId="0" shapeId="0" xr:uid="{00000000-0006-0000-0500-000012000000}">
      <text>
        <r>
          <rPr>
            <sz val="10"/>
            <rFont val="Arial"/>
            <family val="2"/>
          </rPr>
          <t>Repos, CI SaaS, monitoring, AI coding assistants, design (Canva). Scales with headcount.</t>
        </r>
      </text>
    </comment>
    <comment ref="B27" authorId="0" shapeId="0" xr:uid="{00000000-0006-0000-0500-000013000000}">
      <text>
        <r>
          <rPr>
            <sz val="10"/>
            <rFont val="Arial"/>
            <family val="2"/>
          </rPr>
          <t>Events (London Tech Week, competitions), travel, content, demand gen, sales commission.</t>
        </r>
      </text>
    </comment>
    <comment ref="B28" authorId="0" shapeId="0" xr:uid="{00000000-0006-0000-0500-000014000000}">
      <text>
        <r>
          <rPr>
            <sz val="10"/>
            <rFont val="Arial"/>
            <family val="2"/>
          </rPr>
          <t>Production of marketing collateral — website, video, pitch/sales decks, etc. £1.5k/mo from Nov-26 (M5).</t>
        </r>
      </text>
    </comment>
    <comment ref="B29" authorId="0" shapeId="0" xr:uid="{00000000-0006-0000-0500-000015000000}">
      <text>
        <r>
          <rPr>
            <sz val="10"/>
            <rFont val="Arial"/>
            <family val="2"/>
          </rPr>
          <t>Per-deal sales bonus, weighted to the early deals where landing a logo takes the most effort: £18k/logo in 2026, £12k in H1-2027, £8k in H2-2027. Driven by the new-logo count (ex the already-signed MedTech NL). Raises sales spend and lifts blended CAC toward a realistic enterprise level. Flows into the CAC metric.</t>
        </r>
      </text>
    </comment>
    <comment ref="B30" authorId="0" shapeId="0" xr:uid="{00000000-0006-0000-0500-000016000000}">
      <text>
        <r>
          <rPr>
            <sz val="10"/>
            <rFont val="Arial"/>
            <family val="2"/>
          </rPr>
          <t>Gartner STARTUP PACKAGE — analyst-led deal support, not a generic subscription. For each enterprise &amp; platform lead, Gartner analysts: (1) focus our offer to that lead's actual business pain, domain practice, benchmarks and competitors; (2) help quantify the lead's direct ROI from Xplore, citable to Gartner; (3) assess each pilot's effectiveness for the client to drive pilot-&gt;rollout conversion. Offsets &gt;=1 enterprise-sales FTE + &gt;=1 sales-analytics FTE and (est.) speeds pilot start and pilot-&gt;rollout decisions — which is why the sales/analytics headcount plan can stay lean. £40k/yr single payment (Aug-26, Aug-27).</t>
        </r>
      </text>
    </comment>
    <comment ref="B31" authorId="0" shapeId="0" xr:uid="{00000000-0006-0000-0500-000017000000}">
      <text>
        <r>
          <rPr>
            <sz val="10"/>
            <rFont val="Arial"/>
            <family val="2"/>
          </rPr>
          <t>Industry-body membership, £2.5k/year: Jul-26 and Jul-27.</t>
        </r>
      </text>
    </comment>
    <comment ref="B32" authorId="0" shapeId="0" xr:uid="{00000000-0006-0000-0500-000018000000}">
      <text>
        <r>
          <rPr>
            <sz val="10"/>
            <rFont val="Arial"/>
            <family val="2"/>
          </rPr>
          <t>Ongoing patent prosecution admin, commercial contracts, company secretarial.</t>
        </r>
      </text>
    </comment>
    <comment ref="B33" authorId="0" shapeId="0" xr:uid="{00000000-0006-0000-0500-000019000000}">
      <text>
        <r>
          <rPr>
            <sz val="10"/>
            <rFont val="Arial"/>
            <family val="2"/>
          </rPr>
          <t>PCT of the 1st patent (Node Resolution) Sep-26 (~£6k); 2nd patent — UK filing + patent search Oct-26 (~£8k); PCT Mar-27 (~£6k). Attorney + official-fee estimates — adjust to your IP counsel's quote.</t>
        </r>
      </text>
    </comment>
    <comment ref="B34" authorId="0" shapeId="0" xr:uid="{00000000-0006-0000-0500-00001A000000}">
      <text>
        <r>
          <rPr>
            <sz val="10"/>
            <rFont val="Arial"/>
            <family val="2"/>
          </rPr>
          <t>Enterprise MSA / contract legal (Feb-27 £5k).</t>
        </r>
      </text>
    </comment>
    <comment ref="B35" authorId="0" shapeId="0" xr:uid="{00000000-0006-0000-0500-00001B000000}">
      <text>
        <r>
          <rPr>
            <sz val="10"/>
            <rFont val="Arial"/>
            <family val="2"/>
          </rPr>
          <t>Cyber Essentials (Sep-26 £0.5k); CE Plus (Nov-26 £2.5k); ISO 27001 (Jan+Apr-27 £18k); SOC 2 Type I (Mar-27 £20k); ISO 9001 (May-27 £8k); EU AI Act readiness+conformity (May+Jul-27 £20k); SOC 2 Type II (Sep+Dec-27 £30k). Total ≈ £99k.</t>
        </r>
      </text>
    </comment>
    <comment ref="B36" authorId="0" shapeId="0" xr:uid="{00000000-0006-0000-0500-00001C000000}">
      <text>
        <r>
          <rPr>
            <sz val="10"/>
            <rFont val="Arial"/>
            <family val="2"/>
          </rPr>
          <t>£50k one-off for independent university validation under the Smart:Scotland grant programme (Nov-26). A grant award may reimburse part of this — modelled gross here.</t>
        </r>
      </text>
    </comment>
    <comment ref="B37" authorId="0" shapeId="0" xr:uid="{00000000-0006-0000-0500-00001D000000}">
      <text>
        <r>
          <rPr>
            <sz val="10"/>
            <rFont val="Arial"/>
            <family val="2"/>
          </rPr>
          <t>Two scientific papers co-written with Edinburgh Napier scientific consultants. 2 × £2k/mo each, Sep–Nov 26 (£12k total).</t>
        </r>
      </text>
    </comment>
    <comment ref="B38" authorId="0" shapeId="0" xr:uid="{00000000-0006-0000-0500-00001E000000}">
      <text>
        <r>
          <rPr>
            <sz val="10"/>
            <rFont val="Arial"/>
            <family val="2"/>
          </rPr>
          <t>Edinburgh office, ramping from a small office / coworking toward a team space as headcount grows (~£24k → £78k/yr run-rate).</t>
        </r>
      </text>
    </comment>
    <comment ref="B39" authorId="0" shapeId="0" xr:uid="{00000000-0006-0000-0500-00001F000000}">
      <text>
        <r>
          <rPr>
            <sz val="10"/>
            <rFont val="Arial"/>
            <family val="2"/>
          </rPr>
          <t>Agency / referral fees and HR support for hiring (~20+ hires over 18 months), weighted to heavy-hiring quarters.</t>
        </r>
      </text>
    </comment>
    <comment ref="B40" authorId="0" shapeId="0" xr:uid="{00000000-0006-0000-0500-000020000000}">
      <text>
        <r>
          <rPr>
            <sz val="10"/>
            <color rgb="FF000000"/>
            <rFont val="Arial"/>
            <family val="2"/>
          </rPr>
          <t>Accounting/payroll admin, D&amp;O + cyber insurance, misc. (office rent shown separately).</t>
        </r>
      </text>
    </comment>
    <comment ref="B50" authorId="0" shapeId="0" xr:uid="{00000000-0006-0000-0500-000021000000}">
      <text>
        <r>
          <rPr>
            <sz val="10"/>
            <rFont val="Arial"/>
            <family val="2"/>
          </rPr>
          <t>COGS reflects COST-TO-SERVE only (cloud + AI + serve payroll + ~30% of platform rev). Product BUILD is treated as R&amp;D, NOT COGS, treated as R&amp;D, NOT COGS. Only the platform cost-to-serve (Read Me J11, ~30% of platform revenue) sits in COGS. This reconciles company gross margin with the Platforms unit-economics block.</t>
        </r>
      </text>
    </comment>
  </commentList>
</comments>
</file>

<file path=xl/sharedStrings.xml><?xml version="1.0" encoding="utf-8"?>
<sst xmlns="http://schemas.openxmlformats.org/spreadsheetml/2006/main" count="312" uniqueCount="272">
  <si>
    <t>Xplore Intelligence — 18-Month Budget Plan (Investor View)</t>
  </si>
  <si>
    <t>Jul 2026 – Dec 2027  ·  all figures in £'000 (£k) unless noted  ·  quarterly breakdown</t>
  </si>
  <si>
    <t>MODEL SETTINGS</t>
  </si>
  <si>
    <t>HOW TO READ THIS MODEL</t>
  </si>
  <si>
    <t>Editable inputs are shown in blue.</t>
  </si>
  <si>
    <t>Engine runs monthly (M1–M18); the Quarterly Summary rolls months into 6 quarters.</t>
  </si>
  <si>
    <t>Blue cells = editable inputs/assumptions. Black = formulas. Change blue cells and re-open to update.</t>
  </si>
  <si>
    <t>Sheets: (1) Quarterly Summary — investor-facing P&amp;L  (2) Investor Metrics  (3) Revenue (monthly)  (4) Expenses (monthly).</t>
  </si>
  <si>
    <t>Collections lag (months · ~40 days):</t>
  </si>
  <si>
    <t>CALENDAR</t>
  </si>
  <si>
    <t>Platform cost-to-serve (% of platform rev):</t>
  </si>
  <si>
    <t>Q1 = Jul–Sep 26 · Q2 = Oct–Dec 26 · Q3 = Jan–Mar 27 · Q4 = Apr–Jun 27 · Q5 = Jul–Sep 27 · Q6 = Oct–Dec 27</t>
  </si>
  <si>
    <t>THE RAISE</t>
  </si>
  <si>
    <t>£1.5M in two tranches: £400k SEIS — Jul-26 (M1); £1.1M EIS — Nov-26 (M5).</t>
  </si>
  <si>
    <t>Only £400k is available through M4; the £1.1M lands at the start of M5. Hiring is hand-set lean so cash stays positive across the gap.</t>
  </si>
  <si>
    <t>The Quarterly Summary tracks cash = raise + cumulative net cash flow, so runway is visible against each tranche.</t>
  </si>
  <si>
    <t>GO-TO-MARKET LOGIC</t>
  </si>
  <si>
    <t>After Tranche 1, the focus is deploying the SMB product — the primary commercial motion in the early months.</t>
  </si>
  <si>
    <t>Platform: run in the background as an opportunistic track. Pilot Aug–Sep 26; contracting Oct–Dec 26; contract revenue from Feb-27.</t>
  </si>
  <si>
    <t>Enterprise: advisor-led active sales now. First advisor already on board, working with no retainer (success-fee only). Active pilots from Dec-26.</t>
  </si>
  <si>
    <t>REVENUE ASSUMPTIONS</t>
  </si>
  <si>
    <t>£12k items = MONTHLY licence (consistent with the signed £144k ARR MedTech NL contract = £12k/mo).</t>
  </si>
  <si>
    <t>Usage uplift: +10% of licence value each quarter from the client’s 2nd project quarter (cumulative).</t>
  </si>
  <si>
    <t>Platform US/PT: £25k 2-month pilot (Aug-26), then £15k/mo fixed (+20%/Q) from Feb-27 (Dec/Jan not collected in window). No other platform clients.</t>
  </si>
  <si>
    <t>Enterprise licence £35k/mo (+10%/Q from 2nd quarter); enterprise pilot £90k = £30k/mo × 3 months.</t>
  </si>
  <si>
    <t>Pipeline cadence (editable start months on the Revenue sheet):</t>
  </si>
  <si>
    <t xml:space="preserve">   SMB: MedTech NL from Aug-26 (Jul invoice not collected in window), MedTech Swiss Sep-26, Clinical Oct-26.</t>
  </si>
  <si>
    <t xml:space="preserve">   Enterprises: E1 pilot Oct-26 → contract ~Mar-27, then +2 new enterprises per quarter (pilot → contract ~5 months after pilot start).</t>
  </si>
  <si>
    <t>ARR bridge opens at the EXISTING £144k (MedTech NL already signed &amp; in production) — not counted as a logo won during the plan.</t>
  </si>
  <si>
    <t>Collections: invoices assumed collected within ~40 days (1.33-month lag) — reflected in the cash-flow runway, not the accrual P&amp;L.</t>
  </si>
  <si>
    <t>CONTRACT TERMS</t>
  </si>
  <si>
    <t>All client contracts = 3-year term; MedTech NL = 5-year. No contract expires within the 18-mo window, so monthly revenue is unaffected; term drives TCV/LTV (3× or 5×).</t>
  </si>
  <si>
    <t>TEAM &amp; HIRING  (hand-set in this version)</t>
  </si>
  <si>
    <t>Founders: 2 FTE, flat fixed £95k/yr each (£7.92k/mo each). No bonus.</t>
  </si>
  <si>
    <t>M1 (Jul-26): 1 Core Engineer + 0.5 Sales (Verticals &amp; Enterprise).</t>
  </si>
  <si>
    <t>M2 (Aug-26): Sales (V&amp;E) → 1.0; + Project Manager 1.0 (coordinates all project / delivery tasks).</t>
  </si>
  <si>
    <t>M3 (Sep-26): + Data Analyst 1.0 + Full Stack Developer 1.0.</t>
  </si>
  <si>
    <t>M5 (Nov-26): + Sales (V&amp;E) 1.0 (2nd AE).</t>
  </si>
  <si>
    <t>M6 (Dec-26, the month after the £1.1M tranche): + Core Engineer (2nd) + Delivery Manager 1.0 + Forward Engineer 1.0 + R&amp;D Engineer 1.0 + Marketing 0.5.</t>
  </si>
  <si>
    <t>M7 (Jan-27): + Sales (V&amp;E) (3rd) + 2nd Data Analyst.</t>
  </si>
  <si>
    <t>M9 (Mar-27): Marketing 0.5 → 1.0 FTE.</t>
  </si>
  <si>
    <t>Salaries are GROSS market monthly rates (UK, 2026). Employer NIC (15% over £5k) + pension (3%) added as a separate ~18% line on gross pay.</t>
  </si>
  <si>
    <t>EXPENSES</t>
  </si>
  <si>
    <t>Payroll is headcount-driven: FTE schedule × gross monthly rate, with employer NIC + pension as separate lines.</t>
  </si>
  <si>
    <t>Advisors: 1 advisor on retainer (£3k/mo) from Aug-26 (M2) through Dec-26; a 2nd advisor from Jan-27 (M7) → £6k/mo combined.</t>
  </si>
  <si>
    <t>Advisor success fees retained (7% of pilot + 3% of yr-1 licence+usage on advisor-facilitated enterprise/vertical deals) — scales with closed deals, not time.</t>
  </si>
  <si>
    <t>Operating costs (cloud, inference, tooling, S&amp;M, legal/IP, G&amp;A, rent) ramp with client count and headcount; cloud shown net of NVIDIA Inception credits.</t>
  </si>
  <si>
    <t>Sales: early per-deal bonuses (£18k/£12k/£8k per new logo, front-loaded) lift blended CAC to a realistic level.</t>
  </si>
  <si>
    <t>Marketing materials (website, video, decks): £1.5k/mo from Nov-26 (M5).</t>
  </si>
  <si>
    <t>Contingency / pivot reserve = 10% of operating expenses.</t>
  </si>
  <si>
    <t>MARGIN &amp; USE OF FUNDS</t>
  </si>
  <si>
    <t>COGS = cost-to-serve only (cloud + AI + serve payroll + ~30% of platform rev). Product BUILD is R&amp;D, not COGS — gross margin ~80%.</t>
  </si>
  <si>
    <t>VAT excluded (B2B, net-neutral / reclaimable). Corporation tax: indicative provision in the cash-flow block, reduced by b/f losses + R&amp;D relief.</t>
  </si>
  <si>
    <t>Use of funds: £1.5M is GROWTH capital — the in-window net is a planned reinvestment loss; gross profit is ploughed back into hiring, build and pipeline toward Series-A metrics.</t>
  </si>
  <si>
    <t>Quarterly Summary — Revenue, Expenses &amp; Runway (£'000)</t>
  </si>
  <si>
    <t>Jul 2026 – Dec 2027  ·  rolled from the monthly engine</t>
  </si>
  <si>
    <t>£'000</t>
  </si>
  <si>
    <t>Q1
Jul–Sep 26</t>
  </si>
  <si>
    <t>Q2
Oct–Dec 26</t>
  </si>
  <si>
    <t>Q3
Jan–Mar 27</t>
  </si>
  <si>
    <t>Q4
Apr–Jun 27</t>
  </si>
  <si>
    <t>Q5
Jul–Sep 27</t>
  </si>
  <si>
    <t>Q6
Oct–Dec 27</t>
  </si>
  <si>
    <t>18-mo</t>
  </si>
  <si>
    <t>REVENUE</t>
  </si>
  <si>
    <t>SMB</t>
  </si>
  <si>
    <t>Platform US/PT</t>
  </si>
  <si>
    <t>Enterprises (E1–E9)</t>
  </si>
  <si>
    <t>Total revenue</t>
  </si>
  <si>
    <t>Payroll — staff (gross)</t>
  </si>
  <si>
    <t>Employer NIC (15%)</t>
  </si>
  <si>
    <t>Employer pension (3%, auto-enrolment)</t>
  </si>
  <si>
    <t>Advisors — retainer (1→2 × £3k)</t>
  </si>
  <si>
    <t>Advisors — success fees (7% pilot · 3% yr-1)</t>
  </si>
  <si>
    <t>R&amp;D — KTP associates (2)</t>
  </si>
  <si>
    <t>Cloud &amp; infrastructure</t>
  </si>
  <si>
    <t>AI / inference (residual)</t>
  </si>
  <si>
    <t>Software &amp; dev tools</t>
  </si>
  <si>
    <t>Sales &amp; marketing</t>
  </si>
  <si>
    <t>Sales — early deal bonuses</t>
  </si>
  <si>
    <t>Gartner startup package</t>
  </si>
  <si>
    <t>TechUK membership</t>
  </si>
  <si>
    <t>Legal, IP &amp; compliance (recurring)</t>
  </si>
  <si>
    <t>IP — patents (PCT &amp; filings)</t>
  </si>
  <si>
    <t>Legal one-offs (enterprise MSAs)</t>
  </si>
  <si>
    <t>Security &amp; compliance certifications</t>
  </si>
  <si>
    <t>University validation (Smart:Scotland)</t>
  </si>
  <si>
    <t>Research papers — Napier consultants</t>
  </si>
  <si>
    <t>Office rent</t>
  </si>
  <si>
    <t>Recruitment &amp; HR fees</t>
  </si>
  <si>
    <t>G&amp;A, admin &amp; insurance</t>
  </si>
  <si>
    <t>Contingency / pivot reserve</t>
  </si>
  <si>
    <t>Total expenses</t>
  </si>
  <si>
    <t>Net (revenue − expenses)</t>
  </si>
  <si>
    <t>Cumulative net</t>
  </si>
  <si>
    <t>CASH FLOW &amp; RUNWAY  (collections lagged ~40 days · raise £1.5M)</t>
  </si>
  <si>
    <t>Cash collected (~40-day lag)</t>
  </si>
  <si>
    <t>Cash out (total expenses)</t>
  </si>
  <si>
    <t>Corporation tax provision (≈15%, post R&amp;D relief)</t>
  </si>
  <si>
    <t>Net cash flow</t>
  </si>
  <si>
    <t>Cumulative cash flow</t>
  </si>
  <si>
    <t>Capital raised (cumulative available)</t>
  </si>
  <si>
    <t>Cash position (raise + cumulative cash flow)</t>
  </si>
  <si>
    <t>Memo — exit ARR (M18 recurring run-rate × 12, £'000)</t>
  </si>
  <si>
    <t>Memo — accrual net (revenue − expenses), 18-mo</t>
  </si>
  <si>
    <t>Note: P&amp;L above is accrual; the runway uses cash collected (~40-day lag). VAT excluded (B2B, net-neutral). Corporation tax is an indicative provision only.</t>
  </si>
  <si>
    <t>Investor Metrics — ARR, margin, cash &amp; the round (£'000)</t>
  </si>
  <si>
    <t>Computed from the budget (lean plan)</t>
  </si>
  <si>
    <t>£'000 unless noted</t>
  </si>
  <si>
    <t>ARR BRIDGE  (recurring run-rate × 12, ex one-off pilots)</t>
  </si>
  <si>
    <t>Opening ARR</t>
  </si>
  <si>
    <t>(+) New-logo ARR</t>
  </si>
  <si>
    <t>(+) Expansion ARR (usage + escalation)</t>
  </si>
  <si>
    <t>Closing ARR</t>
  </si>
  <si>
    <t>Net new ARR</t>
  </si>
  <si>
    <t>QoQ ARR growth</t>
  </si>
  <si>
    <t>Opening ARR (Q1) = £144k: the MedTech NL contract is already signed and in production at plan start, so it is EXISTING ARR, not a</t>
  </si>
  <si>
    <t>logo won during the plan. Q1 new logos are therefore the 2 additional streams (MedTech Swiss + Clinical), not 3.</t>
  </si>
  <si>
    <t>Churn = 0% by design, not optimism: every contract is a 3–5y term and within this 18-month window NO contract reaches</t>
  </si>
  <si>
    <t>end-of-term, so there is nothing to renew or lose yet — and no down-sell is modelled. The churn risk lives AFTER M18</t>
  </si>
  <si>
    <t>(at first renewals); see the churn sensitivity note below.</t>
  </si>
  <si>
    <t>REVENUE &amp; MARGIN</t>
  </si>
  <si>
    <t>New logos (recurring contracts won)</t>
  </si>
  <si>
    <t>Avg new ACV (£k/yr)</t>
  </si>
  <si>
    <t>Gross margin %</t>
  </si>
  <si>
    <t>COGS = cloud + AI/inference + cost-to-serve payroll + platform cost-to-serve (~30% of platform rev). Product BUILD sits in R&amp;D, not COGS.</t>
  </si>
  <si>
    <t>Gross margin dips to ~56–58% in Q2–Q3 as cost-to-serve headcount ramps ahead of revenue (small-base timing), then scales to 80%+ by Q6.</t>
  </si>
  <si>
    <t>CASH &amp; RUNWAY</t>
  </si>
  <si>
    <t>Net cash flow (cash basis)</t>
  </si>
  <si>
    <t>USE OF FUNDS → MILESTONE  (£1.5M is growth capital, not survival capital)</t>
  </si>
  <si>
    <t>The plan reinvests gross profit into hiring and GTM — that is why the in-window net is a planned loss BY DESIGN, not padding.</t>
  </si>
  <si>
    <t>On the signed MedTech contract alone the burn is modest; the round funds the jump from one contract to a multi-logo book.</t>
  </si>
  <si>
    <t>What £1.5M buys: a broader client book, the enterprise GTM engine, and the team to run it.</t>
  </si>
  <si>
    <t>Round raised</t>
  </si>
  <si>
    <t>£400k SEIS (Jul-26) + £1.1M EIS (Nov-26)</t>
  </si>
  <si>
    <t>Gross profit generated (18mo)</t>
  </si>
  <si>
    <t>Net result (18mo)</t>
  </si>
  <si>
    <t>Exit ARR — M18 (run-rate)</t>
  </si>
  <si>
    <t>recurring × 12 at month 18</t>
  </si>
  <si>
    <t>Gross margin at exit (Q6)</t>
  </si>
  <si>
    <t>company-level, COGS as defined above</t>
  </si>
  <si>
    <t>Cash trough (min position)</t>
  </si>
  <si>
    <t>raise + lowest cumulative cash flow</t>
  </si>
  <si>
    <t>Runway — does £1.5M fund the 18-mo plan?</t>
  </si>
  <si>
    <t>cash never hits zero in the plan; next round raised from strength</t>
  </si>
  <si>
    <t>CF-positive from</t>
  </si>
  <si>
    <t>first quarter with positive net cash flow</t>
  </si>
  <si>
    <t>Trough buffer at peak burn (months)</t>
  </si>
  <si>
    <t>cash trough ÷ peak monthly burn — the honest thin spot to watch</t>
  </si>
  <si>
    <t>EIS tranche unlocks at ARR ≥ £300k — see the Closing ARR row above for the crossing quarter.</t>
  </si>
  <si>
    <t>Churn sensitivity: at 10% annual gross churn, exit ARR would be ~10% lower than the run-rate shown (model assumes 0%).</t>
  </si>
  <si>
    <t>Use of Funds — by tranche &amp; total (£'000)</t>
  </si>
  <si>
    <t>£1.5M staged: £400k SEIS (Jul-26) funds M1-M4 to the EIS trigger; £1.1M EIS (Nov-26) funds the M5-M18 scale-up. Linked to Expenses, so it always ties to the budget.</t>
  </si>
  <si>
    <t>Tranche 1
£400k SEIS · M1-M4</t>
  </si>
  <si>
    <t>Tranche 2
£1.1M EIS · M5-M18</t>
  </si>
  <si>
    <t>Total
£1.5M · 18 mo</t>
  </si>
  <si>
    <t>% of total</t>
  </si>
  <si>
    <t>DEPLOYMENT BY CATEGORY</t>
  </si>
  <si>
    <t>Team — payroll + employer NIC &amp; pension</t>
  </si>
  <si>
    <t>Go-to-market — S&amp;M, marketing, deal bonuses, advisors</t>
  </si>
  <si>
    <t>Infrastructure &amp; tooling — cloud, AI, software</t>
  </si>
  <si>
    <t>R&amp;D, IP &amp; compliance</t>
  </si>
  <si>
    <t>G&amp;A &amp; facilities — rent, recruitment, admin</t>
  </si>
  <si>
    <t>TOTAL DEPLOYED</t>
  </si>
  <si>
    <t>FUNDED BY</t>
  </si>
  <si>
    <t>Capital available (tranche)</t>
  </si>
  <si>
    <t>(+) Revenue collected in window</t>
  </si>
  <si>
    <t>(=) Total funding in window</t>
  </si>
  <si>
    <t>(-) Cash deployed in window</t>
  </si>
  <si>
    <t>Closing cash buffer at M18</t>
  </si>
  <si>
    <t>Money is fungible: the tranche columns show spend by TIME WINDOW (M1-M4 vs M5-M18), not ring-fenced cash.</t>
  </si>
  <si>
    <t>The £400k SEIS funds M1-M4 to the EIS trigger; cumulative cash never goes negative (trough ~£41k at M4 — see Quarterly Summary). The £1.1M EIS lands at M5.</t>
  </si>
  <si>
    <t>Spend over 18 months exceeds the raise because collected revenue co-funds it — that is the 'Revenue collected' line above.</t>
  </si>
  <si>
    <t>MILESTONES PER TRANCHE</t>
  </si>
  <si>
    <t>Tranche 1 (£400k SEIS): funds M1-M4 runway to the EIS trigger — ARR &gt;= £300k (first met at M4 / Oct-26).</t>
  </si>
  <si>
    <t>Tranche 2 (£1.1M EIS): funds M5-M18 scale-up — broader client book, CF-positive by Q6, Series-A-ready metrics.</t>
  </si>
  <si>
    <t>Revenue build — monthly (£'000)</t>
  </si>
  <si>
    <t>Stream</t>
  </si>
  <si>
    <t>Jul-26</t>
  </si>
  <si>
    <t>Aug-26</t>
  </si>
  <si>
    <t>Sep-26</t>
  </si>
  <si>
    <t>Oct-26</t>
  </si>
  <si>
    <t>Nov-26</t>
  </si>
  <si>
    <t>Dec-26</t>
  </si>
  <si>
    <t>Jan-27</t>
  </si>
  <si>
    <t>Feb-27</t>
  </si>
  <si>
    <t>Mar-27</t>
  </si>
  <si>
    <t>Apr-27</t>
  </si>
  <si>
    <t>May-27</t>
  </si>
  <si>
    <t>Jun-27</t>
  </si>
  <si>
    <t>Jul-27</t>
  </si>
  <si>
    <t>Aug-27</t>
  </si>
  <si>
    <t>Sep-27</t>
  </si>
  <si>
    <t>Oct-27</t>
  </si>
  <si>
    <t>Nov-27</t>
  </si>
  <si>
    <t>Dec-27</t>
  </si>
  <si>
    <t>start</t>
  </si>
  <si>
    <t>base</t>
  </si>
  <si>
    <t>esc</t>
  </si>
  <si>
    <t>Month #</t>
  </si>
  <si>
    <t>SMB (recurring licence + usage)</t>
  </si>
  <si>
    <t>MedTech NL — licence + usage (from Aug-26)</t>
  </si>
  <si>
    <t>MedTech Swiss — licence + usage</t>
  </si>
  <si>
    <t>Clinical Trial US/KZ — licence + usage (from Oct-26)</t>
  </si>
  <si>
    <t>Subtotal — SMB</t>
  </si>
  <si>
    <t>Platform US/PT — fixed £15k/mo (+20%/Q, from Feb-27)</t>
  </si>
  <si>
    <t>Platform US/PT — 2-mo pilot (Aug-26)</t>
  </si>
  <si>
    <t>Subtotal — Platform US/PT</t>
  </si>
  <si>
    <t>Enterprises  (E1–E9 · +2 clients / quarter)</t>
  </si>
  <si>
    <t>E1 — licence + usage (+10%/Q), from Mar-27</t>
  </si>
  <si>
    <t>E1 — pilot £90k = £30k/mo ×3 (Oct-26)</t>
  </si>
  <si>
    <t>E2 — licence + usage, from Jun-27</t>
  </si>
  <si>
    <t>E2 — pilot ×3 (Jan-27)</t>
  </si>
  <si>
    <t>E3 — licence + usage, from Jun-27</t>
  </si>
  <si>
    <t>E3 — pilot ×3 (Jan-27)</t>
  </si>
  <si>
    <t>E4 — licence + usage, from Sep-27</t>
  </si>
  <si>
    <t>E4 — pilot ×3 (Apr-27)</t>
  </si>
  <si>
    <t>E5 — licence + usage, from Sep-27</t>
  </si>
  <si>
    <t>E5 — pilot ×3 (Apr-27)</t>
  </si>
  <si>
    <t>E6 — licence + usage, from Dec-27</t>
  </si>
  <si>
    <t>E6 — pilot ×3 (Jul-27)</t>
  </si>
  <si>
    <t>E7 — licence + usage, from Dec-27</t>
  </si>
  <si>
    <t>E7 — pilot ×3 (Jul-27)</t>
  </si>
  <si>
    <t>E8 — pilot ×3 (Oct-27)</t>
  </si>
  <si>
    <t>E9 — pilot ×3 (Oct-27)</t>
  </si>
  <si>
    <t>Subtotal — Enterprises</t>
  </si>
  <si>
    <t>TOTAL REVENUE</t>
  </si>
  <si>
    <t>Cash receipts (~40-day collection lag)</t>
  </si>
  <si>
    <t>Recurring revenue, ex-pilots (monthly)</t>
  </si>
  <si>
    <t>New-logo run-rate added (monthly, ex-existing)</t>
  </si>
  <si>
    <t>New logos (count, monthly, ex-existing)</t>
  </si>
  <si>
    <t>Expense plan — monthly (£'000)</t>
  </si>
  <si>
    <t>Cost line</t>
  </si>
  <si>
    <t>£k/FTE</t>
  </si>
  <si>
    <t>TEAM / PAYROLL — engineers are Core; the only Delivery role is the manager</t>
  </si>
  <si>
    <t>Founders (CEO + CTO) — FTE</t>
  </si>
  <si>
    <t>Core Engineer — FTE</t>
  </si>
  <si>
    <t>Sales — Verticals &amp; Enterprise — FTE</t>
  </si>
  <si>
    <t>Project Manager — FTE</t>
  </si>
  <si>
    <t>Data Analyst — FTE</t>
  </si>
  <si>
    <t>Full Stack Developer — FTE</t>
  </si>
  <si>
    <t>Forward Engineer — FTE</t>
  </si>
  <si>
    <t>Delivery Manager — FTE</t>
  </si>
  <si>
    <t>R&amp;D Engineer — FTE</t>
  </si>
  <si>
    <t>Marketing specialist — FTE</t>
  </si>
  <si>
    <t>Payroll — staff (gross salaries)</t>
  </si>
  <si>
    <t>Advisors — retainer (1 from Aug-26, 2nd from Jan-27 · £3k/mo each)</t>
  </si>
  <si>
    <t>Advisors — success fees (7% pilot · 3% yr-1 licence+usage)</t>
  </si>
  <si>
    <t>R&amp;D — KTP associates (2, from Q3 2027)</t>
  </si>
  <si>
    <t>OPERATING COSTS — core company</t>
  </si>
  <si>
    <t>Cloud &amp; infrastructure (net of Inception credits)</t>
  </si>
  <si>
    <t>AI / inference — LLM-judge + embeddings (residual)</t>
  </si>
  <si>
    <t>Software &amp; dev tools (incl. AI coding)</t>
  </si>
  <si>
    <t>Sales &amp; marketing (events, travel, commission)</t>
  </si>
  <si>
    <t>Marketing materials (website, video, decks)</t>
  </si>
  <si>
    <t>Sales — early deal bonuses (per new logo, front-loaded)</t>
  </si>
  <si>
    <t>Gartner startup package (analyst deal support)</t>
  </si>
  <si>
    <t>TechUK membership (£2.5k/yr)</t>
  </si>
  <si>
    <t>Legal, IP &amp; compliance — recurring</t>
  </si>
  <si>
    <t>University validation (Smart:Scotland, Nov-26)</t>
  </si>
  <si>
    <t>Research papers — Napier consultants (Sep–Nov 26)</t>
  </si>
  <si>
    <t>Subtotal — core operating costs</t>
  </si>
  <si>
    <t>Operating expenses (pre-contingency)</t>
  </si>
  <si>
    <t>Contingency / pivot reserve (10%)</t>
  </si>
  <si>
    <t>TOTAL EXPENSES</t>
  </si>
  <si>
    <t>MEMO — for investor metrics (not in totals)</t>
  </si>
  <si>
    <t>Cost-to-serve payroll — Data Analyst + Full Stack + Forward Eng + Delivery Mgr (memo)</t>
  </si>
  <si>
    <t>Sales payroll (memo)</t>
  </si>
  <si>
    <t>COGS (memo: cloud + AI + cost-to-serve payroll + platform serve)</t>
  </si>
  <si>
    <t>real 18-mo gross profit — reinvested into hiring, R&amp;D and GTM rather than dropped to the bottom line</t>
  </si>
  <si>
    <t>planned reinvestment loss — gross profit plus raised capital deployed into the multi-logo build, not a funding deficit</t>
  </si>
  <si>
    <t>Gartner STARTUP PACKAGE (£40k/yr) — analyst-led deal support, not a subscription: per enterprise/platform lead, Gartner analysts focus the offer to the lead's pain/domain benchmarks/competitors, quantify the lead's ROI (citable to Gartner), and assess each pilot to drive pilot→rollout. Offsets ≥1 enterprise-sales + ≥1 sales-analytics FTE and speeds pilot start &amp; conversion — keeping sales/analytics 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</si>
</sst>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£#,##0;&quot;(£&quot;#,##0\);\-"/>
    <numFmt numFmtId="165" formatCode="#,##0.0"/>
    <numFmt numFmtId="166" formatCode="#,##0.0;\(#,##0.0\);\-"/>
  </numFmts>
  <fonts count="3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5"/>
      <color rgb="FF1F2A44"/>
      <name val="Arial"/>
      <family val="2"/>
    </font>
    <font>
      <i/>
      <sz val="10"/>
      <color rgb="FF555555"/>
      <name val="Arial"/>
      <family val="2"/>
    </font>
    <font>
      <b/>
      <sz val="11"/>
      <color rgb="FFFFFFFF"/>
      <name val="Arial"/>
      <family val="2"/>
    </font>
    <font>
      <b/>
      <sz val="10.5"/>
      <color rgb="FFE9913A"/>
      <name val="Arial"/>
      <family val="2"/>
    </font>
    <font>
      <i/>
      <sz val="8.5"/>
      <color rgb="FF888888"/>
      <name val="Arial"/>
      <family val="2"/>
    </font>
    <font>
      <sz val="9.5"/>
      <color rgb="FF333333"/>
      <name val="Arial"/>
      <family val="2"/>
    </font>
    <font>
      <sz val="9"/>
      <color rgb="FFFFFFFF"/>
      <name val="Arial"/>
      <family val="2"/>
    </font>
    <font>
      <sz val="9"/>
      <color rgb="FF333333"/>
      <name val="Arial"/>
      <family val="2"/>
    </font>
    <font>
      <sz val="9"/>
      <color rgb="FF0000FF"/>
      <name val="Arial"/>
      <family val="2"/>
    </font>
    <font>
      <b/>
      <sz val="14"/>
      <color rgb="FF1F2A44"/>
      <name val="Arial"/>
      <family val="2"/>
    </font>
    <font>
      <i/>
      <sz val="9.5"/>
      <color rgb="FF555555"/>
      <name val="Arial"/>
      <family val="2"/>
    </font>
    <font>
      <b/>
      <sz val="9"/>
      <color rgb="FFFFFFFF"/>
      <name val="Arial"/>
      <family val="2"/>
    </font>
    <font>
      <b/>
      <sz val="10"/>
      <color rgb="FF1F2A44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1F2A44"/>
      <name val="Arial"/>
      <family val="2"/>
    </font>
    <font>
      <i/>
      <sz val="9"/>
      <name val="Arial"/>
      <family val="2"/>
    </font>
    <font>
      <i/>
      <sz val="8.5"/>
      <color rgb="FF777777"/>
      <name val="Arial"/>
      <family val="2"/>
    </font>
    <font>
      <i/>
      <sz val="8.5"/>
      <color rgb="FF555555"/>
      <name val="Arial"/>
      <family val="2"/>
    </font>
    <font>
      <b/>
      <sz val="9"/>
      <color rgb="FF1F2A44"/>
      <name val="Arial"/>
      <family val="2"/>
    </font>
    <font>
      <b/>
      <sz val="13"/>
      <color rgb="FF1F2A44"/>
      <name val="Arial"/>
      <family val="2"/>
    </font>
    <font>
      <i/>
      <sz val="9"/>
      <color rgb="FF777777"/>
      <name val="Arial"/>
      <family val="2"/>
    </font>
    <font>
      <b/>
      <sz val="11"/>
      <color rgb="FF1F2A44"/>
      <name val="Arial"/>
      <family val="2"/>
    </font>
    <font>
      <b/>
      <sz val="8.5"/>
      <color rgb="FFFFFFFF"/>
      <name val="Arial"/>
      <family val="2"/>
    </font>
    <font>
      <b/>
      <sz val="8"/>
      <color rgb="FF888888"/>
      <name val="Arial"/>
      <family val="2"/>
    </font>
    <font>
      <i/>
      <sz val="8"/>
      <color rgb="FF888888"/>
      <name val="Arial"/>
      <family val="2"/>
    </font>
    <font>
      <sz val="8"/>
      <color rgb="FF0000FF"/>
      <name val="Arial"/>
      <family val="2"/>
    </font>
    <font>
      <sz val="8"/>
      <color rgb="FF888888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2A44"/>
        <bgColor rgb="FF333333"/>
      </patternFill>
    </fill>
    <fill>
      <patternFill patternType="solid">
        <fgColor rgb="FFEDF1F7"/>
        <bgColor rgb="FFE5F1E8"/>
      </patternFill>
    </fill>
    <fill>
      <patternFill patternType="solid">
        <fgColor rgb="FFE5F1E8"/>
        <bgColor rgb="FFEDF1F7"/>
      </patternFill>
    </fill>
    <fill>
      <patternFill patternType="solid">
        <fgColor rgb="FFFBE3DA"/>
        <bgColor rgb="FFFFF6D6"/>
      </patternFill>
    </fill>
    <fill>
      <patternFill patternType="solid">
        <fgColor rgb="FFFFF6D6"/>
        <bgColor rgb="FFFBE3DA"/>
      </patternFill>
    </fill>
    <fill>
      <patternFill patternType="solid">
        <fgColor rgb="FFDCE3EE"/>
        <bgColor rgb="FFE5F1E8"/>
      </patternFill>
    </fill>
  </fills>
  <borders count="2">
    <border>
      <left/>
      <right/>
      <top/>
      <bottom/>
      <diagonal/>
    </border>
    <border>
      <left style="thin">
        <color rgb="FFC9D2E0"/>
      </left>
      <right style="thin">
        <color rgb="FFC9D2E0"/>
      </right>
      <top style="thin">
        <color rgb="FFC9D2E0"/>
      </top>
      <bottom style="thin">
        <color rgb="FFC9D2E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" fontId="10" fillId="0" borderId="1" xfId="0" applyNumberFormat="1" applyFont="1" applyBorder="1" applyAlignment="1">
      <alignment horizontal="center"/>
    </xf>
    <xf numFmtId="9" fontId="10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3" borderId="0" xfId="0" applyFont="1" applyFill="1"/>
    <xf numFmtId="0" fontId="0" fillId="3" borderId="0" xfId="0" applyFill="1"/>
    <xf numFmtId="0" fontId="15" fillId="0" borderId="0" xfId="0" applyFont="1" applyAlignment="1">
      <alignment horizontal="left" indent="1"/>
    </xf>
    <xf numFmtId="164" fontId="16" fillId="0" borderId="1" xfId="0" applyNumberFormat="1" applyFont="1" applyBorder="1"/>
    <xf numFmtId="0" fontId="17" fillId="4" borderId="0" xfId="0" applyFont="1" applyFill="1" applyAlignment="1">
      <alignment horizontal="left" indent="1"/>
    </xf>
    <xf numFmtId="164" fontId="18" fillId="4" borderId="1" xfId="0" applyNumberFormat="1" applyFont="1" applyFill="1" applyBorder="1"/>
    <xf numFmtId="0" fontId="17" fillId="5" borderId="0" xfId="0" applyFont="1" applyFill="1" applyAlignment="1">
      <alignment horizontal="left" indent="1"/>
    </xf>
    <xf numFmtId="164" fontId="18" fillId="5" borderId="1" xfId="0" applyNumberFormat="1" applyFont="1" applyFill="1" applyBorder="1"/>
    <xf numFmtId="0" fontId="17" fillId="6" borderId="0" xfId="0" applyFont="1" applyFill="1" applyAlignment="1">
      <alignment horizontal="left" indent="1"/>
    </xf>
    <xf numFmtId="164" fontId="17" fillId="6" borderId="1" xfId="0" applyNumberFormat="1" applyFont="1" applyFill="1" applyBorder="1"/>
    <xf numFmtId="0" fontId="17" fillId="0" borderId="0" xfId="0" applyFont="1" applyAlignment="1">
      <alignment horizontal="left" indent="1"/>
    </xf>
    <xf numFmtId="164" fontId="15" fillId="0" borderId="1" xfId="0" applyNumberFormat="1" applyFont="1" applyBorder="1"/>
    <xf numFmtId="0" fontId="15" fillId="4" borderId="0" xfId="0" applyFont="1" applyFill="1" applyAlignment="1">
      <alignment horizontal="left" indent="1"/>
    </xf>
    <xf numFmtId="164" fontId="16" fillId="4" borderId="1" xfId="0" applyNumberFormat="1" applyFont="1" applyFill="1" applyBorder="1"/>
    <xf numFmtId="9" fontId="10" fillId="0" borderId="0" xfId="0" applyNumberFormat="1" applyFont="1"/>
    <xf numFmtId="164" fontId="19" fillId="0" borderId="1" xfId="0" applyNumberFormat="1" applyFont="1" applyBorder="1"/>
    <xf numFmtId="164" fontId="10" fillId="0" borderId="1" xfId="0" applyNumberFormat="1" applyFont="1" applyBorder="1"/>
    <xf numFmtId="164" fontId="17" fillId="4" borderId="1" xfId="0" applyNumberFormat="1" applyFont="1" applyFill="1" applyBorder="1"/>
    <xf numFmtId="0" fontId="0" fillId="4" borderId="0" xfId="0" applyFill="1"/>
    <xf numFmtId="0" fontId="20" fillId="0" borderId="0" xfId="0" applyFont="1" applyAlignment="1">
      <alignment horizontal="left" indent="1"/>
    </xf>
    <xf numFmtId="164" fontId="20" fillId="0" borderId="0" xfId="0" applyNumberFormat="1" applyFont="1"/>
    <xf numFmtId="0" fontId="21" fillId="0" borderId="0" xfId="0" applyFont="1"/>
    <xf numFmtId="0" fontId="0" fillId="6" borderId="0" xfId="0" applyFill="1"/>
    <xf numFmtId="9" fontId="15" fillId="0" borderId="1" xfId="0" applyNumberFormat="1" applyFont="1" applyBorder="1"/>
    <xf numFmtId="165" fontId="15" fillId="0" borderId="1" xfId="0" applyNumberFormat="1" applyFont="1" applyBorder="1"/>
    <xf numFmtId="0" fontId="22" fillId="0" borderId="0" xfId="0" applyFont="1"/>
    <xf numFmtId="0" fontId="15" fillId="0" borderId="0" xfId="0" applyFont="1"/>
    <xf numFmtId="164" fontId="23" fillId="0" borderId="1" xfId="0" applyNumberFormat="1" applyFont="1" applyBorder="1"/>
    <xf numFmtId="9" fontId="23" fillId="0" borderId="1" xfId="0" applyNumberFormat="1" applyFont="1" applyBorder="1"/>
    <xf numFmtId="0" fontId="23" fillId="0" borderId="1" xfId="0" applyFont="1" applyBorder="1"/>
    <xf numFmtId="165" fontId="23" fillId="0" borderId="1" xfId="0" applyNumberFormat="1" applyFont="1" applyBorder="1"/>
    <xf numFmtId="0" fontId="24" fillId="0" borderId="0" xfId="0" applyFont="1"/>
    <xf numFmtId="0" fontId="25" fillId="0" borderId="0" xfId="0" applyFont="1"/>
    <xf numFmtId="0" fontId="17" fillId="0" borderId="0" xfId="0" applyFont="1"/>
    <xf numFmtId="164" fontId="17" fillId="7" borderId="1" xfId="0" applyNumberFormat="1" applyFont="1" applyFill="1" applyBorder="1"/>
    <xf numFmtId="9" fontId="17" fillId="7" borderId="1" xfId="0" applyNumberFormat="1" applyFont="1" applyFill="1" applyBorder="1"/>
    <xf numFmtId="164" fontId="17" fillId="0" borderId="1" xfId="0" applyNumberFormat="1" applyFont="1" applyBorder="1"/>
    <xf numFmtId="0" fontId="14" fillId="0" borderId="0" xfId="0" applyFont="1"/>
    <xf numFmtId="164" fontId="26" fillId="6" borderId="1" xfId="0" applyNumberFormat="1" applyFont="1" applyFill="1" applyBorder="1"/>
    <xf numFmtId="0" fontId="13" fillId="2" borderId="0" xfId="0" applyFont="1" applyFill="1" applyAlignment="1">
      <alignment horizontal="left"/>
    </xf>
    <xf numFmtId="0" fontId="2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/>
    <xf numFmtId="9" fontId="30" fillId="0" borderId="0" xfId="0" applyNumberFormat="1" applyFont="1"/>
    <xf numFmtId="0" fontId="17" fillId="7" borderId="0" xfId="0" applyFont="1" applyFill="1" applyAlignment="1">
      <alignment horizontal="left" indent="1"/>
    </xf>
    <xf numFmtId="164" fontId="18" fillId="7" borderId="1" xfId="0" applyNumberFormat="1" applyFont="1" applyFill="1" applyBorder="1"/>
    <xf numFmtId="0" fontId="31" fillId="0" borderId="0" xfId="0" applyFont="1"/>
    <xf numFmtId="0" fontId="13" fillId="2" borderId="0" xfId="0" applyFont="1" applyFill="1" applyAlignment="1">
      <alignment horizontal="left" indent="1"/>
    </xf>
    <xf numFmtId="164" fontId="13" fillId="2" borderId="1" xfId="0" applyNumberFormat="1" applyFont="1" applyFill="1" applyBorder="1"/>
    <xf numFmtId="165" fontId="16" fillId="0" borderId="1" xfId="0" applyNumberFormat="1" applyFont="1" applyBorder="1"/>
    <xf numFmtId="166" fontId="30" fillId="0" borderId="0" xfId="0" applyNumberFormat="1" applyFont="1" applyAlignment="1">
      <alignment horizontal="center"/>
    </xf>
    <xf numFmtId="165" fontId="30" fillId="0" borderId="0" xfId="0" applyNumberFormat="1" applyFont="1"/>
    <xf numFmtId="0" fontId="17" fillId="3" borderId="0" xfId="0" applyFont="1" applyFill="1" applyAlignment="1">
      <alignment horizontal="left" indent="1"/>
    </xf>
    <xf numFmtId="164" fontId="18" fillId="3" borderId="1" xfId="0" applyNumberFormat="1" applyFont="1" applyFill="1" applyBorder="1"/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6D6"/>
      <rgbColor rgb="FFE5F1E8"/>
      <rgbColor rgb="FF660066"/>
      <rgbColor rgb="FFFF8080"/>
      <rgbColor rgb="FF0066CC"/>
      <rgbColor rgb="FFC9D2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7"/>
      <rgbColor rgb="FFDCE3EE"/>
      <rgbColor rgb="FFFFFF99"/>
      <rgbColor rgb="FF99CCFF"/>
      <rgbColor rgb="FFFF99CC"/>
      <rgbColor rgb="FFCC99FF"/>
      <rgbColor rgb="FFFBE3DA"/>
      <rgbColor rgb="FF3366FF"/>
      <rgbColor rgb="FF33CCCC"/>
      <rgbColor rgb="FF99CC00"/>
      <rgbColor rgb="FFFFCC00"/>
      <rgbColor rgb="FFE9913A"/>
      <rgbColor rgb="FFFF6600"/>
      <rgbColor rgb="FF777777"/>
      <rgbColor rgb="FF969696"/>
      <rgbColor rgb="FF1F2A44"/>
      <rgbColor rgb="FF339966"/>
      <rgbColor rgb="FF003300"/>
      <rgbColor rgb="FF333300"/>
      <rgbColor rgb="FF993300"/>
      <rgbColor rgb="FF993366"/>
      <rgbColor rgb="FF55555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4"/>
  <sheetViews>
    <sheetView showGridLines="0" tabSelected="1" topLeftCell="A11" zoomScaleNormal="100" workbookViewId="0">
      <selection activeCell="H33" sqref="H33"/>
    </sheetView>
  </sheetViews>
  <sheetFormatPr baseColWidth="10" defaultColWidth="8.6640625" defaultRowHeight="15" x14ac:dyDescent="0.2"/>
  <cols>
    <col min="1" max="1" width="2" customWidth="1"/>
    <col min="2" max="2" width="46" customWidth="1"/>
    <col min="3" max="7" width="15" customWidth="1"/>
    <col min="8" max="8" width="34" customWidth="1"/>
    <col min="9" max="9" width="3" customWidth="1"/>
    <col min="10" max="10" width="12" customWidth="1"/>
    <col min="11" max="11" width="4" customWidth="1"/>
  </cols>
  <sheetData>
    <row r="2" spans="2:10" ht="19" x14ac:dyDescent="0.2">
      <c r="B2" s="1" t="s">
        <v>0</v>
      </c>
    </row>
    <row r="3" spans="2:10" x14ac:dyDescent="0.2">
      <c r="B3" s="2" t="s">
        <v>1</v>
      </c>
    </row>
    <row r="5" spans="2:10" x14ac:dyDescent="0.2">
      <c r="H5" s="3" t="s">
        <v>2</v>
      </c>
      <c r="I5" s="4"/>
      <c r="J5" s="4"/>
    </row>
    <row r="6" spans="2:10" x14ac:dyDescent="0.2">
      <c r="B6" s="5" t="s">
        <v>3</v>
      </c>
      <c r="H6" s="6" t="s">
        <v>4</v>
      </c>
    </row>
    <row r="7" spans="2:10" x14ac:dyDescent="0.2">
      <c r="B7" s="7" t="s">
        <v>5</v>
      </c>
      <c r="J7" s="8">
        <v>0</v>
      </c>
    </row>
    <row r="8" spans="2:10" x14ac:dyDescent="0.2">
      <c r="B8" s="7" t="s">
        <v>6</v>
      </c>
      <c r="J8" s="8">
        <v>0</v>
      </c>
    </row>
    <row r="9" spans="2:10" x14ac:dyDescent="0.2">
      <c r="B9" s="7" t="s">
        <v>7</v>
      </c>
    </row>
    <row r="10" spans="2:10" x14ac:dyDescent="0.2">
      <c r="H10" s="9" t="s">
        <v>8</v>
      </c>
      <c r="J10" s="10">
        <v>1.33</v>
      </c>
    </row>
    <row r="11" spans="2:10" x14ac:dyDescent="0.2">
      <c r="B11" s="5" t="s">
        <v>9</v>
      </c>
      <c r="H11" s="9" t="s">
        <v>10</v>
      </c>
      <c r="J11" s="11">
        <v>0.3</v>
      </c>
    </row>
    <row r="12" spans="2:10" x14ac:dyDescent="0.2">
      <c r="B12" s="7" t="s">
        <v>11</v>
      </c>
    </row>
    <row r="14" spans="2:10" x14ac:dyDescent="0.2">
      <c r="B14" s="5" t="s">
        <v>12</v>
      </c>
    </row>
    <row r="15" spans="2:10" x14ac:dyDescent="0.2">
      <c r="B15" s="7" t="s">
        <v>13</v>
      </c>
    </row>
    <row r="16" spans="2:10" x14ac:dyDescent="0.2">
      <c r="B16" s="7" t="s">
        <v>14</v>
      </c>
    </row>
    <row r="17" spans="2:7" x14ac:dyDescent="0.2">
      <c r="B17" s="7" t="s">
        <v>15</v>
      </c>
    </row>
    <row r="19" spans="2:7" x14ac:dyDescent="0.2">
      <c r="B19" s="5" t="s">
        <v>16</v>
      </c>
    </row>
    <row r="20" spans="2:7" x14ac:dyDescent="0.2">
      <c r="B20" s="7" t="s">
        <v>17</v>
      </c>
    </row>
    <row r="21" spans="2:7" x14ac:dyDescent="0.2">
      <c r="B21" s="7" t="s">
        <v>18</v>
      </c>
    </row>
    <row r="22" spans="2:7" x14ac:dyDescent="0.2">
      <c r="B22" s="7" t="s">
        <v>19</v>
      </c>
    </row>
    <row r="23" spans="2:7" x14ac:dyDescent="0.2">
      <c r="B23" s="74" t="s">
        <v>271</v>
      </c>
      <c r="C23" s="74"/>
      <c r="D23" s="74"/>
      <c r="E23" s="74"/>
      <c r="F23" s="74"/>
      <c r="G23" s="74"/>
    </row>
    <row r="24" spans="2:7" x14ac:dyDescent="0.2">
      <c r="B24" s="74"/>
      <c r="C24" s="74"/>
      <c r="D24" s="74"/>
      <c r="E24" s="74"/>
      <c r="F24" s="74"/>
      <c r="G24" s="74"/>
    </row>
    <row r="25" spans="2:7" x14ac:dyDescent="0.2">
      <c r="B25" s="74"/>
      <c r="C25" s="74"/>
      <c r="D25" s="74"/>
      <c r="E25" s="74"/>
      <c r="F25" s="74"/>
      <c r="G25" s="74"/>
    </row>
    <row r="27" spans="2:7" x14ac:dyDescent="0.2">
      <c r="B27" s="5" t="s">
        <v>20</v>
      </c>
    </row>
    <row r="28" spans="2:7" x14ac:dyDescent="0.2">
      <c r="B28" s="7" t="s">
        <v>21</v>
      </c>
    </row>
    <row r="29" spans="2:7" x14ac:dyDescent="0.2">
      <c r="B29" s="7" t="s">
        <v>22</v>
      </c>
    </row>
    <row r="30" spans="2:7" x14ac:dyDescent="0.2">
      <c r="B30" s="7" t="s">
        <v>23</v>
      </c>
    </row>
    <row r="31" spans="2:7" x14ac:dyDescent="0.2">
      <c r="B31" s="7" t="s">
        <v>24</v>
      </c>
    </row>
    <row r="32" spans="2:7" x14ac:dyDescent="0.2">
      <c r="B32" s="7" t="s">
        <v>25</v>
      </c>
    </row>
    <row r="33" spans="2:2" x14ac:dyDescent="0.2">
      <c r="B33" s="7" t="s">
        <v>26</v>
      </c>
    </row>
    <row r="34" spans="2:2" x14ac:dyDescent="0.2">
      <c r="B34" s="7" t="s">
        <v>27</v>
      </c>
    </row>
    <row r="35" spans="2:2" x14ac:dyDescent="0.2">
      <c r="B35" s="7" t="s">
        <v>28</v>
      </c>
    </row>
    <row r="36" spans="2:2" x14ac:dyDescent="0.2">
      <c r="B36" s="7" t="s">
        <v>29</v>
      </c>
    </row>
    <row r="38" spans="2:2" x14ac:dyDescent="0.2">
      <c r="B38" s="5" t="s">
        <v>30</v>
      </c>
    </row>
    <row r="39" spans="2:2" x14ac:dyDescent="0.2">
      <c r="B39" s="7" t="s">
        <v>31</v>
      </c>
    </row>
    <row r="41" spans="2:2" x14ac:dyDescent="0.2">
      <c r="B41" s="5" t="s">
        <v>32</v>
      </c>
    </row>
    <row r="42" spans="2:2" x14ac:dyDescent="0.2">
      <c r="B42" s="7" t="s">
        <v>33</v>
      </c>
    </row>
    <row r="43" spans="2:2" x14ac:dyDescent="0.2">
      <c r="B43" s="7" t="s">
        <v>34</v>
      </c>
    </row>
    <row r="44" spans="2:2" x14ac:dyDescent="0.2">
      <c r="B44" s="7" t="s">
        <v>35</v>
      </c>
    </row>
    <row r="45" spans="2:2" x14ac:dyDescent="0.2">
      <c r="B45" s="7" t="s">
        <v>36</v>
      </c>
    </row>
    <row r="46" spans="2:2" x14ac:dyDescent="0.2">
      <c r="B46" s="7" t="s">
        <v>37</v>
      </c>
    </row>
    <row r="47" spans="2:2" x14ac:dyDescent="0.2">
      <c r="B47" s="7" t="s">
        <v>38</v>
      </c>
    </row>
    <row r="48" spans="2:2" x14ac:dyDescent="0.2">
      <c r="B48" s="7" t="s">
        <v>39</v>
      </c>
    </row>
    <row r="49" spans="2:2" x14ac:dyDescent="0.2">
      <c r="B49" s="7" t="s">
        <v>40</v>
      </c>
    </row>
    <row r="50" spans="2:2" x14ac:dyDescent="0.2">
      <c r="B50" s="7" t="s">
        <v>41</v>
      </c>
    </row>
    <row r="52" spans="2:2" x14ac:dyDescent="0.2">
      <c r="B52" s="5" t="s">
        <v>42</v>
      </c>
    </row>
    <row r="53" spans="2:2" x14ac:dyDescent="0.2">
      <c r="B53" s="7" t="s">
        <v>43</v>
      </c>
    </row>
    <row r="54" spans="2:2" x14ac:dyDescent="0.2">
      <c r="B54" s="7" t="s">
        <v>44</v>
      </c>
    </row>
    <row r="55" spans="2:2" x14ac:dyDescent="0.2">
      <c r="B55" s="7" t="s">
        <v>45</v>
      </c>
    </row>
    <row r="56" spans="2:2" x14ac:dyDescent="0.2">
      <c r="B56" s="7" t="s">
        <v>46</v>
      </c>
    </row>
    <row r="57" spans="2:2" x14ac:dyDescent="0.2">
      <c r="B57" s="7" t="s">
        <v>47</v>
      </c>
    </row>
    <row r="58" spans="2:2" x14ac:dyDescent="0.2">
      <c r="B58" s="7" t="s">
        <v>48</v>
      </c>
    </row>
    <row r="59" spans="2:2" x14ac:dyDescent="0.2">
      <c r="B59" s="7" t="s">
        <v>49</v>
      </c>
    </row>
    <row r="61" spans="2:2" x14ac:dyDescent="0.2">
      <c r="B61" s="5" t="s">
        <v>50</v>
      </c>
    </row>
    <row r="62" spans="2:2" x14ac:dyDescent="0.2">
      <c r="B62" s="7" t="s">
        <v>51</v>
      </c>
    </row>
    <row r="63" spans="2:2" x14ac:dyDescent="0.2">
      <c r="B63" s="7" t="s">
        <v>52</v>
      </c>
    </row>
    <row r="64" spans="2:2" x14ac:dyDescent="0.2">
      <c r="B64" s="7" t="s">
        <v>53</v>
      </c>
    </row>
  </sheetData>
  <mergeCells count="1">
    <mergeCell ref="B23:G2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53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2" width="40" customWidth="1"/>
    <col min="3" max="9" width="13" customWidth="1"/>
  </cols>
  <sheetData>
    <row r="2" spans="2:21" ht="18" x14ac:dyDescent="0.2">
      <c r="B2" s="12" t="s">
        <v>54</v>
      </c>
    </row>
    <row r="3" spans="2:21" x14ac:dyDescent="0.2">
      <c r="B3" s="13" t="s">
        <v>55</v>
      </c>
    </row>
    <row r="5" spans="2:21" ht="30" customHeight="1" x14ac:dyDescent="0.2">
      <c r="B5" s="14" t="s">
        <v>56</v>
      </c>
      <c r="C5" s="15" t="s">
        <v>57</v>
      </c>
      <c r="D5" s="15" t="s">
        <v>58</v>
      </c>
      <c r="E5" s="15" t="s">
        <v>59</v>
      </c>
      <c r="F5" s="15" t="s">
        <v>60</v>
      </c>
      <c r="G5" s="15" t="s">
        <v>61</v>
      </c>
      <c r="H5" s="15" t="s">
        <v>62</v>
      </c>
      <c r="I5" s="16" t="s">
        <v>63</v>
      </c>
    </row>
    <row r="6" spans="2:21" x14ac:dyDescent="0.2">
      <c r="B6" s="17" t="s">
        <v>64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2:21" x14ac:dyDescent="0.2">
      <c r="B7" s="19" t="s">
        <v>65</v>
      </c>
      <c r="C7" s="20">
        <f>SUM('Revenue (monthly)'!C9:E9)</f>
        <v>36</v>
      </c>
      <c r="D7" s="20">
        <f>SUM('Revenue (monthly)'!F9:H9)</f>
        <v>111.60000000000001</v>
      </c>
      <c r="E7" s="20">
        <f>SUM('Revenue (monthly)'!I9:K9)</f>
        <v>122.4</v>
      </c>
      <c r="F7" s="20">
        <f>SUM('Revenue (monthly)'!L9:N9)</f>
        <v>133.19999999999999</v>
      </c>
      <c r="G7" s="20">
        <f>SUM('Revenue (monthly)'!O9:Q9)</f>
        <v>144</v>
      </c>
      <c r="H7" s="20">
        <f>SUM('Revenue (monthly)'!R9:T9)</f>
        <v>154.79999999999998</v>
      </c>
      <c r="I7" s="20">
        <f>SUM(C7:H7)</f>
        <v>702</v>
      </c>
    </row>
    <row r="8" spans="2:21" x14ac:dyDescent="0.2">
      <c r="B8" s="19" t="s">
        <v>66</v>
      </c>
      <c r="C8" s="20">
        <f>SUM('Revenue (monthly)'!C14:E14)</f>
        <v>25</v>
      </c>
      <c r="D8" s="20">
        <f>SUM('Revenue (monthly)'!F14:H14)</f>
        <v>0</v>
      </c>
      <c r="E8" s="20">
        <f>SUM('Revenue (monthly)'!I14:K14)</f>
        <v>30</v>
      </c>
      <c r="F8" s="20">
        <f>SUM('Revenue (monthly)'!L14:N14)</f>
        <v>51</v>
      </c>
      <c r="G8" s="20">
        <f>SUM('Revenue (monthly)'!O14:Q14)</f>
        <v>60</v>
      </c>
      <c r="H8" s="20">
        <f>SUM('Revenue (monthly)'!R14:T14)</f>
        <v>69</v>
      </c>
      <c r="I8" s="20">
        <f>SUM(C8:H8)</f>
        <v>235</v>
      </c>
    </row>
    <row r="9" spans="2:21" x14ac:dyDescent="0.2">
      <c r="B9" s="19" t="s">
        <v>67</v>
      </c>
      <c r="C9" s="20">
        <f>SUM('Revenue (monthly)'!C33:E33)</f>
        <v>0</v>
      </c>
      <c r="D9" s="20">
        <f>SUM('Revenue (monthly)'!F33:H33)</f>
        <v>30</v>
      </c>
      <c r="E9" s="20">
        <f>SUM('Revenue (monthly)'!I33:K33)</f>
        <v>120</v>
      </c>
      <c r="F9" s="20">
        <f>SUM('Revenue (monthly)'!L33:N33)</f>
        <v>250</v>
      </c>
      <c r="G9" s="20">
        <f>SUM('Revenue (monthly)'!O33:Q33)</f>
        <v>432</v>
      </c>
      <c r="H9" s="20">
        <f>SUM('Revenue (monthly)'!R33:T33)</f>
        <v>666.5</v>
      </c>
      <c r="I9" s="20">
        <f>SUM(C9:H9)</f>
        <v>1498.5</v>
      </c>
    </row>
    <row r="10" spans="2:21" x14ac:dyDescent="0.2">
      <c r="B10" s="21" t="s">
        <v>68</v>
      </c>
      <c r="C10" s="22">
        <f>SUM('Revenue (monthly)'!C35:E35)</f>
        <v>61</v>
      </c>
      <c r="D10" s="22">
        <f>SUM('Revenue (monthly)'!F35:H35)</f>
        <v>141.60000000000002</v>
      </c>
      <c r="E10" s="22">
        <f>SUM('Revenue (monthly)'!I35:K35)</f>
        <v>272.39999999999998</v>
      </c>
      <c r="F10" s="22">
        <f>SUM('Revenue (monthly)'!L35:N35)</f>
        <v>434.20000000000005</v>
      </c>
      <c r="G10" s="22">
        <f>SUM('Revenue (monthly)'!O35:Q35)</f>
        <v>636</v>
      </c>
      <c r="H10" s="22">
        <f>SUM('Revenue (monthly)'!R35:T35)</f>
        <v>890.3</v>
      </c>
      <c r="I10" s="22">
        <f>SUM(C10:H10)</f>
        <v>2435.5</v>
      </c>
    </row>
    <row r="12" spans="2:21" x14ac:dyDescent="0.2">
      <c r="B12" s="17" t="s">
        <v>42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1" x14ac:dyDescent="0.2">
      <c r="B13" s="19" t="s">
        <v>69</v>
      </c>
      <c r="C13" s="20">
        <f>SUM('Expenses (monthly)'!C16:E16)</f>
        <v>108.75019999999999</v>
      </c>
      <c r="D13" s="20">
        <f>SUM('Expenses (monthly)'!F16:H16)</f>
        <v>183.75020000000001</v>
      </c>
      <c r="E13" s="20">
        <f>SUM('Expenses (monthly)'!I16:K16)</f>
        <v>289.00020000000001</v>
      </c>
      <c r="F13" s="20">
        <f>SUM('Expenses (monthly)'!L16:N16)</f>
        <v>293.50020000000001</v>
      </c>
      <c r="G13" s="20">
        <f>SUM('Expenses (monthly)'!O16:Q16)</f>
        <v>293.50020000000001</v>
      </c>
      <c r="H13" s="20">
        <f>SUM('Expenses (monthly)'!R16:T16)</f>
        <v>293.50020000000001</v>
      </c>
      <c r="I13" s="20">
        <f t="shared" ref="I13:I36" si="0">SUM(C13:H13)</f>
        <v>1462.0011999999999</v>
      </c>
    </row>
    <row r="14" spans="2:21" x14ac:dyDescent="0.2">
      <c r="B14" s="19" t="s">
        <v>70</v>
      </c>
      <c r="C14" s="20">
        <f>SUM('Expenses (monthly)'!C17:E17)</f>
        <v>16.312529999999999</v>
      </c>
      <c r="D14" s="20">
        <f>SUM('Expenses (monthly)'!F17:H17)</f>
        <v>27.562529999999999</v>
      </c>
      <c r="E14" s="20">
        <f>SUM('Expenses (monthly)'!I17:K17)</f>
        <v>43.350029999999997</v>
      </c>
      <c r="F14" s="20">
        <f>SUM('Expenses (monthly)'!L17:N17)</f>
        <v>44.025029999999994</v>
      </c>
      <c r="G14" s="20">
        <f>SUM('Expenses (monthly)'!O17:Q17)</f>
        <v>44.025029999999994</v>
      </c>
      <c r="H14" s="20">
        <f>SUM('Expenses (monthly)'!R17:T17)</f>
        <v>44.025029999999994</v>
      </c>
      <c r="I14" s="20">
        <f t="shared" si="0"/>
        <v>219.30017999999995</v>
      </c>
    </row>
    <row r="15" spans="2:21" x14ac:dyDescent="0.2">
      <c r="B15" s="19" t="s">
        <v>71</v>
      </c>
      <c r="C15" s="20">
        <f>SUM('Expenses (monthly)'!C18:E18)</f>
        <v>3.2625059999999997</v>
      </c>
      <c r="D15" s="20">
        <f>SUM('Expenses (monthly)'!F18:H18)</f>
        <v>5.5125060000000001</v>
      </c>
      <c r="E15" s="20">
        <f>SUM('Expenses (monthly)'!I18:K18)</f>
        <v>8.6700060000000008</v>
      </c>
      <c r="F15" s="20">
        <f>SUM('Expenses (monthly)'!L18:N18)</f>
        <v>8.8050059999999988</v>
      </c>
      <c r="G15" s="20">
        <f>SUM('Expenses (monthly)'!O18:Q18)</f>
        <v>8.8050059999999988</v>
      </c>
      <c r="H15" s="20">
        <f>SUM('Expenses (monthly)'!R18:T18)</f>
        <v>8.8050059999999988</v>
      </c>
      <c r="I15" s="20">
        <f t="shared" si="0"/>
        <v>43.860036000000001</v>
      </c>
    </row>
    <row r="16" spans="2:21" x14ac:dyDescent="0.2">
      <c r="B16" s="19" t="s">
        <v>72</v>
      </c>
      <c r="C16" s="20">
        <f>SUM('Expenses (monthly)'!C19:E19)</f>
        <v>6</v>
      </c>
      <c r="D16" s="20">
        <f>SUM('Expenses (monthly)'!F19:H19)</f>
        <v>9</v>
      </c>
      <c r="E16" s="20">
        <f>SUM('Expenses (monthly)'!I19:K19)</f>
        <v>18</v>
      </c>
      <c r="F16" s="20">
        <f>SUM('Expenses (monthly)'!L19:N19)</f>
        <v>18</v>
      </c>
      <c r="G16" s="20">
        <f>SUM('Expenses (monthly)'!O19:Q19)</f>
        <v>18</v>
      </c>
      <c r="H16" s="20">
        <f>SUM('Expenses (monthly)'!R19:T19)</f>
        <v>18</v>
      </c>
      <c r="I16" s="20">
        <f t="shared" si="0"/>
        <v>87</v>
      </c>
    </row>
    <row r="17" spans="2:9" x14ac:dyDescent="0.2">
      <c r="B17" s="19" t="s">
        <v>73</v>
      </c>
      <c r="C17" s="20">
        <f>SUM('Expenses (monthly)'!C20:E20)</f>
        <v>8.6</v>
      </c>
      <c r="D17" s="20">
        <f>SUM('Expenses (monthly)'!F20:H20)</f>
        <v>6.3</v>
      </c>
      <c r="E17" s="20">
        <f>SUM('Expenses (monthly)'!I20:K20)</f>
        <v>26.1</v>
      </c>
      <c r="F17" s="20">
        <f>SUM('Expenses (monthly)'!L20:N20)</f>
        <v>39.6</v>
      </c>
      <c r="G17" s="20">
        <f>SUM('Expenses (monthly)'!O20:Q20)</f>
        <v>39.6</v>
      </c>
      <c r="H17" s="20">
        <f>SUM('Expenses (monthly)'!R20:T20)</f>
        <v>39.6</v>
      </c>
      <c r="I17" s="20">
        <f t="shared" si="0"/>
        <v>159.79999999999998</v>
      </c>
    </row>
    <row r="18" spans="2:9" x14ac:dyDescent="0.2">
      <c r="B18" s="19" t="s">
        <v>74</v>
      </c>
      <c r="C18" s="20">
        <f>SUM('Expenses (monthly)'!C21:E21)</f>
        <v>0</v>
      </c>
      <c r="D18" s="20">
        <f>SUM('Expenses (monthly)'!F21:H21)</f>
        <v>0</v>
      </c>
      <c r="E18" s="20">
        <f>SUM('Expenses (monthly)'!I21:K21)</f>
        <v>0</v>
      </c>
      <c r="F18" s="20">
        <f>SUM('Expenses (monthly)'!L21:N21)</f>
        <v>0</v>
      </c>
      <c r="G18" s="20">
        <f>SUM('Expenses (monthly)'!O21:Q21)</f>
        <v>15</v>
      </c>
      <c r="H18" s="20">
        <f>SUM('Expenses (monthly)'!R21:T21)</f>
        <v>15</v>
      </c>
      <c r="I18" s="20">
        <f t="shared" si="0"/>
        <v>30</v>
      </c>
    </row>
    <row r="19" spans="2:9" x14ac:dyDescent="0.2">
      <c r="B19" s="19" t="s">
        <v>75</v>
      </c>
      <c r="C19" s="20">
        <f>SUM('Expenses (monthly)'!C24:E24)</f>
        <v>4.5</v>
      </c>
      <c r="D19" s="20">
        <f>SUM('Expenses (monthly)'!F24:H24)</f>
        <v>7.5</v>
      </c>
      <c r="E19" s="20">
        <f>SUM('Expenses (monthly)'!I24:K24)</f>
        <v>10.5</v>
      </c>
      <c r="F19" s="20">
        <f>SUM('Expenses (monthly)'!L24:N24)</f>
        <v>13.5</v>
      </c>
      <c r="G19" s="20">
        <f>SUM('Expenses (monthly)'!O24:Q24)</f>
        <v>16.5</v>
      </c>
      <c r="H19" s="20">
        <f>SUM('Expenses (monthly)'!R24:T24)</f>
        <v>19.5</v>
      </c>
      <c r="I19" s="20">
        <f t="shared" si="0"/>
        <v>72</v>
      </c>
    </row>
    <row r="20" spans="2:9" x14ac:dyDescent="0.2">
      <c r="B20" s="19" t="s">
        <v>76</v>
      </c>
      <c r="C20" s="20">
        <f>SUM('Expenses (monthly)'!C25:E25)</f>
        <v>2.4000000000000004</v>
      </c>
      <c r="D20" s="20">
        <f>SUM('Expenses (monthly)'!F25:H25)</f>
        <v>4.5</v>
      </c>
      <c r="E20" s="20">
        <f>SUM('Expenses (monthly)'!I25:K25)</f>
        <v>7.5</v>
      </c>
      <c r="F20" s="20">
        <f>SUM('Expenses (monthly)'!L25:N25)</f>
        <v>10.5</v>
      </c>
      <c r="G20" s="20">
        <f>SUM('Expenses (monthly)'!O25:Q25)</f>
        <v>13.5</v>
      </c>
      <c r="H20" s="20">
        <f>SUM('Expenses (monthly)'!R25:T25)</f>
        <v>16.5</v>
      </c>
      <c r="I20" s="20">
        <f t="shared" si="0"/>
        <v>54.9</v>
      </c>
    </row>
    <row r="21" spans="2:9" x14ac:dyDescent="0.2">
      <c r="B21" s="19" t="s">
        <v>77</v>
      </c>
      <c r="C21" s="20">
        <f>SUM('Expenses (monthly)'!C26:E26)</f>
        <v>3.5999999999999996</v>
      </c>
      <c r="D21" s="20">
        <f>SUM('Expenses (monthly)'!F26:H26)</f>
        <v>6</v>
      </c>
      <c r="E21" s="20">
        <f>SUM('Expenses (monthly)'!I26:K26)</f>
        <v>9</v>
      </c>
      <c r="F21" s="20">
        <f>SUM('Expenses (monthly)'!L26:N26)</f>
        <v>12</v>
      </c>
      <c r="G21" s="20">
        <f>SUM('Expenses (monthly)'!O26:Q26)</f>
        <v>15</v>
      </c>
      <c r="H21" s="20">
        <f>SUM('Expenses (monthly)'!R26:T26)</f>
        <v>18</v>
      </c>
      <c r="I21" s="20">
        <f t="shared" si="0"/>
        <v>63.6</v>
      </c>
    </row>
    <row r="22" spans="2:9" x14ac:dyDescent="0.2">
      <c r="B22" s="19" t="s">
        <v>78</v>
      </c>
      <c r="C22" s="20">
        <f>SUM('Expenses (monthly)'!C27:E27)</f>
        <v>9</v>
      </c>
      <c r="D22" s="20">
        <f>SUM('Expenses (monthly)'!F27:H27)</f>
        <v>15</v>
      </c>
      <c r="E22" s="20">
        <f>SUM('Expenses (monthly)'!I27:K27)</f>
        <v>15</v>
      </c>
      <c r="F22" s="20">
        <f>SUM('Expenses (monthly)'!L27:N27)</f>
        <v>18</v>
      </c>
      <c r="G22" s="20">
        <f>SUM('Expenses (monthly)'!O27:Q27)</f>
        <v>21</v>
      </c>
      <c r="H22" s="20">
        <f>SUM('Expenses (monthly)'!R27:T27)</f>
        <v>24</v>
      </c>
      <c r="I22" s="20">
        <f t="shared" si="0"/>
        <v>102</v>
      </c>
    </row>
    <row r="23" spans="2:9" x14ac:dyDescent="0.2">
      <c r="B23" s="19" t="s">
        <v>79</v>
      </c>
      <c r="C23" s="20">
        <f>SUM('Expenses (monthly)'!C29:E29)</f>
        <v>18</v>
      </c>
      <c r="D23" s="20">
        <f>SUM('Expenses (monthly)'!F29:H29)</f>
        <v>18</v>
      </c>
      <c r="E23" s="20">
        <f>SUM('Expenses (monthly)'!I29:K29)</f>
        <v>12</v>
      </c>
      <c r="F23" s="20">
        <f>SUM('Expenses (monthly)'!L29:N29)</f>
        <v>12</v>
      </c>
      <c r="G23" s="20">
        <f>SUM('Expenses (monthly)'!O29:Q29)</f>
        <v>16</v>
      </c>
      <c r="H23" s="20">
        <f>SUM('Expenses (monthly)'!R29:T29)</f>
        <v>16</v>
      </c>
      <c r="I23" s="20">
        <f t="shared" si="0"/>
        <v>92</v>
      </c>
    </row>
    <row r="24" spans="2:9" x14ac:dyDescent="0.2">
      <c r="B24" s="19" t="s">
        <v>80</v>
      </c>
      <c r="C24" s="20">
        <f>SUM('Expenses (monthly)'!C30:E30)</f>
        <v>40</v>
      </c>
      <c r="D24" s="20">
        <f>SUM('Expenses (monthly)'!F30:H30)</f>
        <v>0</v>
      </c>
      <c r="E24" s="20">
        <f>SUM('Expenses (monthly)'!I30:K30)</f>
        <v>0</v>
      </c>
      <c r="F24" s="20">
        <f>SUM('Expenses (monthly)'!L30:N30)</f>
        <v>0</v>
      </c>
      <c r="G24" s="20">
        <f>SUM('Expenses (monthly)'!O30:Q30)</f>
        <v>40</v>
      </c>
      <c r="H24" s="20">
        <f>SUM('Expenses (monthly)'!R30:T30)</f>
        <v>0</v>
      </c>
      <c r="I24" s="20">
        <f t="shared" si="0"/>
        <v>80</v>
      </c>
    </row>
    <row r="25" spans="2:9" x14ac:dyDescent="0.2">
      <c r="B25" s="19" t="s">
        <v>81</v>
      </c>
      <c r="C25" s="20">
        <f>SUM('Expenses (monthly)'!C31:E31)</f>
        <v>2.5</v>
      </c>
      <c r="D25" s="20">
        <f>SUM('Expenses (monthly)'!F31:H31)</f>
        <v>0</v>
      </c>
      <c r="E25" s="20">
        <f>SUM('Expenses (monthly)'!I31:K31)</f>
        <v>0</v>
      </c>
      <c r="F25" s="20">
        <f>SUM('Expenses (monthly)'!L31:N31)</f>
        <v>0</v>
      </c>
      <c r="G25" s="20">
        <f>SUM('Expenses (monthly)'!O31:Q31)</f>
        <v>2.5</v>
      </c>
      <c r="H25" s="20">
        <f>SUM('Expenses (monthly)'!R31:T31)</f>
        <v>0</v>
      </c>
      <c r="I25" s="20">
        <f t="shared" si="0"/>
        <v>5</v>
      </c>
    </row>
    <row r="26" spans="2:9" x14ac:dyDescent="0.2">
      <c r="B26" s="19" t="s">
        <v>82</v>
      </c>
      <c r="C26" s="20">
        <f>SUM('Expenses (monthly)'!C32:E32)</f>
        <v>4.5</v>
      </c>
      <c r="D26" s="20">
        <f>SUM('Expenses (monthly)'!F32:H32)</f>
        <v>4.5</v>
      </c>
      <c r="E26" s="20">
        <f>SUM('Expenses (monthly)'!I32:K32)</f>
        <v>4.5</v>
      </c>
      <c r="F26" s="20">
        <f>SUM('Expenses (monthly)'!L32:N32)</f>
        <v>4.5</v>
      </c>
      <c r="G26" s="20">
        <f>SUM('Expenses (monthly)'!O32:Q32)</f>
        <v>4.5</v>
      </c>
      <c r="H26" s="20">
        <f>SUM('Expenses (monthly)'!R32:T32)</f>
        <v>4.5</v>
      </c>
      <c r="I26" s="20">
        <f t="shared" si="0"/>
        <v>27</v>
      </c>
    </row>
    <row r="27" spans="2:9" x14ac:dyDescent="0.2">
      <c r="B27" s="19" t="s">
        <v>83</v>
      </c>
      <c r="C27" s="20">
        <f>SUM('Expenses (monthly)'!C33:E33)</f>
        <v>6</v>
      </c>
      <c r="D27" s="20">
        <f>SUM('Expenses (monthly)'!F33:H33)</f>
        <v>8</v>
      </c>
      <c r="E27" s="20">
        <f>SUM('Expenses (monthly)'!I33:K33)</f>
        <v>6</v>
      </c>
      <c r="F27" s="20">
        <f>SUM('Expenses (monthly)'!L33:N33)</f>
        <v>0</v>
      </c>
      <c r="G27" s="20">
        <f>SUM('Expenses (monthly)'!O33:Q33)</f>
        <v>0</v>
      </c>
      <c r="H27" s="20">
        <f>SUM('Expenses (monthly)'!R33:T33)</f>
        <v>0</v>
      </c>
      <c r="I27" s="20">
        <f t="shared" si="0"/>
        <v>20</v>
      </c>
    </row>
    <row r="28" spans="2:9" x14ac:dyDescent="0.2">
      <c r="B28" s="19" t="s">
        <v>84</v>
      </c>
      <c r="C28" s="20">
        <f>SUM('Expenses (monthly)'!C34:E34)</f>
        <v>0</v>
      </c>
      <c r="D28" s="20">
        <f>SUM('Expenses (monthly)'!F34:H34)</f>
        <v>0</v>
      </c>
      <c r="E28" s="20">
        <f>SUM('Expenses (monthly)'!I34:K34)</f>
        <v>5</v>
      </c>
      <c r="F28" s="20">
        <f>SUM('Expenses (monthly)'!L34:N34)</f>
        <v>0</v>
      </c>
      <c r="G28" s="20">
        <f>SUM('Expenses (monthly)'!O34:Q34)</f>
        <v>0</v>
      </c>
      <c r="H28" s="20">
        <f>SUM('Expenses (monthly)'!R34:T34)</f>
        <v>0</v>
      </c>
      <c r="I28" s="20">
        <f t="shared" si="0"/>
        <v>5</v>
      </c>
    </row>
    <row r="29" spans="2:9" x14ac:dyDescent="0.2">
      <c r="B29" s="19" t="s">
        <v>85</v>
      </c>
      <c r="C29" s="20">
        <f>SUM('Expenses (monthly)'!C35:E35)</f>
        <v>0.5</v>
      </c>
      <c r="D29" s="20">
        <f>SUM('Expenses (monthly)'!F35:H35)</f>
        <v>2.5</v>
      </c>
      <c r="E29" s="20">
        <f>SUM('Expenses (monthly)'!I35:K35)</f>
        <v>29</v>
      </c>
      <c r="F29" s="20">
        <f>SUM('Expenses (monthly)'!L35:N35)</f>
        <v>27</v>
      </c>
      <c r="G29" s="20">
        <f>SUM('Expenses (monthly)'!O35:Q35)</f>
        <v>25</v>
      </c>
      <c r="H29" s="20">
        <f>SUM('Expenses (monthly)'!R35:T35)</f>
        <v>15</v>
      </c>
      <c r="I29" s="20">
        <f t="shared" si="0"/>
        <v>99</v>
      </c>
    </row>
    <row r="30" spans="2:9" x14ac:dyDescent="0.2">
      <c r="B30" s="19" t="s">
        <v>86</v>
      </c>
      <c r="C30" s="20">
        <f>SUM('Expenses (monthly)'!C36:E36)</f>
        <v>0</v>
      </c>
      <c r="D30" s="20">
        <f>SUM('Expenses (monthly)'!F36:H36)</f>
        <v>50</v>
      </c>
      <c r="E30" s="20">
        <f>SUM('Expenses (monthly)'!I36:K36)</f>
        <v>0</v>
      </c>
      <c r="F30" s="20">
        <f>SUM('Expenses (monthly)'!L36:N36)</f>
        <v>0</v>
      </c>
      <c r="G30" s="20">
        <f>SUM('Expenses (monthly)'!O36:Q36)</f>
        <v>0</v>
      </c>
      <c r="H30" s="20">
        <f>SUM('Expenses (monthly)'!R36:T36)</f>
        <v>0</v>
      </c>
      <c r="I30" s="20">
        <f t="shared" si="0"/>
        <v>50</v>
      </c>
    </row>
    <row r="31" spans="2:9" x14ac:dyDescent="0.2">
      <c r="B31" s="19" t="s">
        <v>87</v>
      </c>
      <c r="C31" s="20">
        <f>SUM('Expenses (monthly)'!C37:E37)</f>
        <v>4</v>
      </c>
      <c r="D31" s="20">
        <f>SUM('Expenses (monthly)'!F37:H37)</f>
        <v>8</v>
      </c>
      <c r="E31" s="20">
        <f>SUM('Expenses (monthly)'!I37:K37)</f>
        <v>0</v>
      </c>
      <c r="F31" s="20">
        <f>SUM('Expenses (monthly)'!L37:N37)</f>
        <v>0</v>
      </c>
      <c r="G31" s="20">
        <f>SUM('Expenses (monthly)'!O37:Q37)</f>
        <v>0</v>
      </c>
      <c r="H31" s="20">
        <f>SUM('Expenses (monthly)'!R37:T37)</f>
        <v>0</v>
      </c>
      <c r="I31" s="20">
        <f t="shared" si="0"/>
        <v>12</v>
      </c>
    </row>
    <row r="32" spans="2:9" x14ac:dyDescent="0.2">
      <c r="B32" s="19" t="s">
        <v>88</v>
      </c>
      <c r="C32" s="20">
        <f>SUM('Expenses (monthly)'!C38:E38)</f>
        <v>6</v>
      </c>
      <c r="D32" s="20">
        <f>SUM('Expenses (monthly)'!F38:H38)</f>
        <v>7.5</v>
      </c>
      <c r="E32" s="20">
        <f>SUM('Expenses (monthly)'!I38:K38)</f>
        <v>10.5</v>
      </c>
      <c r="F32" s="20">
        <f>SUM('Expenses (monthly)'!L38:N38)</f>
        <v>13.5</v>
      </c>
      <c r="G32" s="20">
        <f>SUM('Expenses (monthly)'!O38:Q38)</f>
        <v>16.5</v>
      </c>
      <c r="H32" s="20">
        <f>SUM('Expenses (monthly)'!R38:T38)</f>
        <v>19.5</v>
      </c>
      <c r="I32" s="20">
        <f t="shared" si="0"/>
        <v>73.5</v>
      </c>
    </row>
    <row r="33" spans="2:21" x14ac:dyDescent="0.2">
      <c r="B33" s="19" t="s">
        <v>89</v>
      </c>
      <c r="C33" s="20">
        <f>SUM('Expenses (monthly)'!C39:E39)</f>
        <v>12</v>
      </c>
      <c r="D33" s="20">
        <f>SUM('Expenses (monthly)'!F39:H39)</f>
        <v>9</v>
      </c>
      <c r="E33" s="20">
        <f>SUM('Expenses (monthly)'!I39:K39)</f>
        <v>15</v>
      </c>
      <c r="F33" s="20">
        <f>SUM('Expenses (monthly)'!L39:N39)</f>
        <v>15</v>
      </c>
      <c r="G33" s="20">
        <f>SUM('Expenses (monthly)'!O39:Q39)</f>
        <v>18</v>
      </c>
      <c r="H33" s="20">
        <f>SUM('Expenses (monthly)'!R39:T39)</f>
        <v>18</v>
      </c>
      <c r="I33" s="20">
        <f t="shared" si="0"/>
        <v>87</v>
      </c>
    </row>
    <row r="34" spans="2:21" x14ac:dyDescent="0.2">
      <c r="B34" s="19" t="s">
        <v>90</v>
      </c>
      <c r="C34" s="20">
        <f>SUM('Expenses (monthly)'!C40:E40)</f>
        <v>4.5</v>
      </c>
      <c r="D34" s="20">
        <f>SUM('Expenses (monthly)'!F40:H40)</f>
        <v>5.4</v>
      </c>
      <c r="E34" s="20">
        <f>SUM('Expenses (monthly)'!I40:K40)</f>
        <v>6.6000000000000005</v>
      </c>
      <c r="F34" s="20">
        <f>SUM('Expenses (monthly)'!L40:N40)</f>
        <v>7.5</v>
      </c>
      <c r="G34" s="20">
        <f>SUM('Expenses (monthly)'!O40:Q40)</f>
        <v>8.3999999999999986</v>
      </c>
      <c r="H34" s="20">
        <f>SUM('Expenses (monthly)'!R40:T40)</f>
        <v>9.6000000000000014</v>
      </c>
      <c r="I34" s="20">
        <f t="shared" si="0"/>
        <v>42</v>
      </c>
    </row>
    <row r="35" spans="2:21" x14ac:dyDescent="0.2">
      <c r="B35" s="19" t="s">
        <v>91</v>
      </c>
      <c r="C35" s="20">
        <f>SUM('Expenses (monthly)'!C44:E44)</f>
        <v>26.042523600000003</v>
      </c>
      <c r="D35" s="20">
        <f>SUM('Expenses (monthly)'!F44:H44)</f>
        <v>38.102523600000005</v>
      </c>
      <c r="E35" s="20">
        <f>SUM('Expenses (monthly)'!I44:K44)</f>
        <v>52.022023599999997</v>
      </c>
      <c r="F35" s="20">
        <f>SUM('Expenses (monthly)'!L44:N44)</f>
        <v>54.193023600000004</v>
      </c>
      <c r="G35" s="20">
        <f>SUM('Expenses (monthly)'!O44:Q44)</f>
        <v>62.033023599999993</v>
      </c>
      <c r="H35" s="20">
        <f>SUM('Expenses (monthly)'!R44:T44)</f>
        <v>58.403023600000004</v>
      </c>
      <c r="I35" s="20">
        <f t="shared" si="0"/>
        <v>290.7961416</v>
      </c>
    </row>
    <row r="36" spans="2:21" x14ac:dyDescent="0.2">
      <c r="B36" s="23" t="s">
        <v>92</v>
      </c>
      <c r="C36" s="24">
        <f>SUM('Expenses (monthly)'!C45:E45)</f>
        <v>286.46775959999997</v>
      </c>
      <c r="D36" s="24">
        <f>SUM('Expenses (monthly)'!F45:H45)</f>
        <v>419.12775959999999</v>
      </c>
      <c r="E36" s="24">
        <f>SUM('Expenses (monthly)'!I45:K45)</f>
        <v>572.24225960000001</v>
      </c>
      <c r="F36" s="24">
        <f>SUM('Expenses (monthly)'!L45:N45)</f>
        <v>596.12325959999998</v>
      </c>
      <c r="G36" s="24">
        <f>SUM('Expenses (monthly)'!O45:Q45)</f>
        <v>682.36325959999999</v>
      </c>
      <c r="H36" s="24">
        <f>SUM('Expenses (monthly)'!R45:T45)</f>
        <v>642.43325959999993</v>
      </c>
      <c r="I36" s="24">
        <f t="shared" si="0"/>
        <v>3198.7575575999995</v>
      </c>
    </row>
    <row r="38" spans="2:21" x14ac:dyDescent="0.2">
      <c r="B38" s="25" t="s">
        <v>93</v>
      </c>
      <c r="C38" s="26">
        <f t="shared" ref="C38:H38" si="1">C10-C36</f>
        <v>-225.46775959999997</v>
      </c>
      <c r="D38" s="26">
        <f t="shared" si="1"/>
        <v>-277.52775959999997</v>
      </c>
      <c r="E38" s="26">
        <f t="shared" si="1"/>
        <v>-299.84225960000003</v>
      </c>
      <c r="F38" s="26">
        <f t="shared" si="1"/>
        <v>-161.92325959999994</v>
      </c>
      <c r="G38" s="26">
        <f t="shared" si="1"/>
        <v>-46.363259599999992</v>
      </c>
      <c r="H38" s="26">
        <f t="shared" si="1"/>
        <v>247.86674040000003</v>
      </c>
      <c r="I38" s="26">
        <f>SUM(C38:H38)</f>
        <v>-763.25755759999993</v>
      </c>
    </row>
    <row r="39" spans="2:21" x14ac:dyDescent="0.2">
      <c r="B39" s="27" t="s">
        <v>94</v>
      </c>
      <c r="C39" s="28">
        <f>C38</f>
        <v>-225.46775959999997</v>
      </c>
      <c r="D39" s="28">
        <f>C39+D38</f>
        <v>-502.99551919999993</v>
      </c>
      <c r="E39" s="28">
        <f>D39+E38</f>
        <v>-802.83777880000002</v>
      </c>
      <c r="F39" s="28">
        <f>E39+F38</f>
        <v>-964.76103839999996</v>
      </c>
      <c r="G39" s="28">
        <f>F39+G38</f>
        <v>-1011.124298</v>
      </c>
      <c r="H39" s="28">
        <f>G39+H38</f>
        <v>-763.25755759999993</v>
      </c>
    </row>
    <row r="41" spans="2:21" x14ac:dyDescent="0.2">
      <c r="B41" s="17" t="s">
        <v>95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2:21" x14ac:dyDescent="0.2">
      <c r="B42" s="29" t="s">
        <v>96</v>
      </c>
      <c r="C42" s="30">
        <f ca="1">SUM('Revenue (monthly)'!C37:E37)</f>
        <v>24.79</v>
      </c>
      <c r="D42" s="30">
        <f ca="1">SUM('Revenue (monthly)'!F37:H37)</f>
        <v>97.134</v>
      </c>
      <c r="E42" s="30">
        <f ca="1">SUM('Revenue (monthly)'!I37:K37)</f>
        <v>207.762</v>
      </c>
      <c r="F42" s="30">
        <f ca="1">SUM('Revenue (monthly)'!L37:N37)</f>
        <v>368.97199999999998</v>
      </c>
      <c r="G42" s="30">
        <f ca="1">SUM('Revenue (monthly)'!O37:Q37)</f>
        <v>529.46699999999998</v>
      </c>
      <c r="H42" s="30">
        <f ca="1">SUM('Revenue (monthly)'!R37:T37)</f>
        <v>774.45699999999999</v>
      </c>
      <c r="I42" s="30">
        <f ca="1">SUM(C42:H42)</f>
        <v>2002.5819999999999</v>
      </c>
    </row>
    <row r="43" spans="2:21" x14ac:dyDescent="0.2">
      <c r="B43" s="19" t="s">
        <v>97</v>
      </c>
      <c r="C43" s="28">
        <f t="shared" ref="C43:H43" si="2">C36</f>
        <v>286.46775959999997</v>
      </c>
      <c r="D43" s="28">
        <f t="shared" si="2"/>
        <v>419.12775959999999</v>
      </c>
      <c r="E43" s="28">
        <f t="shared" si="2"/>
        <v>572.24225960000001</v>
      </c>
      <c r="F43" s="28">
        <f t="shared" si="2"/>
        <v>596.12325959999998</v>
      </c>
      <c r="G43" s="28">
        <f t="shared" si="2"/>
        <v>682.36325959999999</v>
      </c>
      <c r="H43" s="28">
        <f t="shared" si="2"/>
        <v>642.43325959999993</v>
      </c>
      <c r="I43" s="28">
        <f>SUM(C43:H43)</f>
        <v>3198.7575575999995</v>
      </c>
    </row>
    <row r="44" spans="2:21" x14ac:dyDescent="0.2">
      <c r="B44" s="19" t="s">
        <v>98</v>
      </c>
      <c r="C44" s="28">
        <f t="shared" ref="C44:H44" si="3">IF(C39&gt;0,$J$44*MAX(0,C38),0)</f>
        <v>0</v>
      </c>
      <c r="D44" s="28">
        <f t="shared" si="3"/>
        <v>0</v>
      </c>
      <c r="E44" s="28">
        <f t="shared" si="3"/>
        <v>0</v>
      </c>
      <c r="F44" s="28">
        <f t="shared" si="3"/>
        <v>0</v>
      </c>
      <c r="G44" s="28">
        <f t="shared" si="3"/>
        <v>0</v>
      </c>
      <c r="H44" s="28">
        <f t="shared" si="3"/>
        <v>0</v>
      </c>
      <c r="I44" s="28">
        <f>SUM(C44:H44)</f>
        <v>0</v>
      </c>
      <c r="J44" s="31">
        <v>0.15</v>
      </c>
    </row>
    <row r="45" spans="2:21" x14ac:dyDescent="0.2">
      <c r="B45" s="25" t="s">
        <v>99</v>
      </c>
      <c r="C45" s="26">
        <f t="shared" ref="C45:H45" ca="1" si="4">C42-C43-C44</f>
        <v>-261.67775959999994</v>
      </c>
      <c r="D45" s="26">
        <f t="shared" ca="1" si="4"/>
        <v>-321.99375959999998</v>
      </c>
      <c r="E45" s="26">
        <f t="shared" ca="1" si="4"/>
        <v>-364.48025960000001</v>
      </c>
      <c r="F45" s="26">
        <f t="shared" ca="1" si="4"/>
        <v>-227.1512596</v>
      </c>
      <c r="G45" s="26">
        <f t="shared" ca="1" si="4"/>
        <v>-152.89625960000001</v>
      </c>
      <c r="H45" s="26">
        <f t="shared" ca="1" si="4"/>
        <v>132.02374040000007</v>
      </c>
      <c r="I45" s="26">
        <f ca="1">SUM(C45:H45)</f>
        <v>-1196.1755576</v>
      </c>
    </row>
    <row r="46" spans="2:21" x14ac:dyDescent="0.2">
      <c r="B46" s="19" t="s">
        <v>100</v>
      </c>
      <c r="C46" s="28">
        <f ca="1">C45</f>
        <v>-261.67775959999994</v>
      </c>
      <c r="D46" s="28">
        <f ca="1">C46+D45</f>
        <v>-583.67151919999992</v>
      </c>
      <c r="E46" s="28">
        <f ca="1">D46+E45</f>
        <v>-948.15177879999987</v>
      </c>
      <c r="F46" s="28">
        <f ca="1">E46+F45</f>
        <v>-1175.3030383999999</v>
      </c>
      <c r="G46" s="28">
        <f ca="1">F46+G45</f>
        <v>-1328.199298</v>
      </c>
      <c r="H46" s="28">
        <f ca="1">G46+H45</f>
        <v>-1196.1755576</v>
      </c>
    </row>
    <row r="47" spans="2:21" x14ac:dyDescent="0.2">
      <c r="B47" s="19" t="s">
        <v>101</v>
      </c>
      <c r="C47" s="32">
        <f>400+1100*'Read Me &amp; Assumptions'!$J$8</f>
        <v>400</v>
      </c>
      <c r="D47" s="33">
        <v>1500</v>
      </c>
      <c r="E47" s="33">
        <v>1500</v>
      </c>
      <c r="F47" s="33">
        <v>1500</v>
      </c>
      <c r="G47" s="33">
        <v>1500</v>
      </c>
      <c r="H47" s="33">
        <v>1500</v>
      </c>
    </row>
    <row r="48" spans="2:21" x14ac:dyDescent="0.2">
      <c r="B48" s="21" t="s">
        <v>102</v>
      </c>
      <c r="C48" s="34">
        <f t="shared" ref="C48:H48" ca="1" si="5">C47+C46</f>
        <v>138.32224040000006</v>
      </c>
      <c r="D48" s="34">
        <f t="shared" ca="1" si="5"/>
        <v>916.32848080000008</v>
      </c>
      <c r="E48" s="34">
        <f t="shared" ca="1" si="5"/>
        <v>551.84822120000013</v>
      </c>
      <c r="F48" s="34">
        <f t="shared" ca="1" si="5"/>
        <v>324.69696160000012</v>
      </c>
      <c r="G48" s="34">
        <f t="shared" ca="1" si="5"/>
        <v>171.800702</v>
      </c>
      <c r="H48" s="34">
        <f t="shared" ca="1" si="5"/>
        <v>303.82444239999995</v>
      </c>
      <c r="I48" s="35"/>
    </row>
    <row r="50" spans="2:3" x14ac:dyDescent="0.2">
      <c r="B50" s="36" t="s">
        <v>103</v>
      </c>
      <c r="C50" s="37">
        <f>'Revenue (monthly)'!T39*12</f>
        <v>3189.6000000000004</v>
      </c>
    </row>
    <row r="51" spans="2:3" x14ac:dyDescent="0.2">
      <c r="B51" s="36" t="s">
        <v>104</v>
      </c>
      <c r="C51" s="37">
        <f>I38</f>
        <v>-763.25755759999993</v>
      </c>
    </row>
    <row r="53" spans="2:3" x14ac:dyDescent="0.2">
      <c r="B53" s="38" t="s">
        <v>105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45"/>
  <sheetViews>
    <sheetView showGridLines="0" topLeftCell="A16" zoomScaleNormal="100" workbookViewId="0">
      <selection activeCell="D38" sqref="D38"/>
    </sheetView>
  </sheetViews>
  <sheetFormatPr baseColWidth="10" defaultColWidth="8.6640625" defaultRowHeight="15" x14ac:dyDescent="0.2"/>
  <cols>
    <col min="1" max="1" width="2" customWidth="1"/>
    <col min="2" max="2" width="42" customWidth="1"/>
    <col min="3" max="9" width="13" customWidth="1"/>
  </cols>
  <sheetData>
    <row r="2" spans="2:9" ht="18" x14ac:dyDescent="0.2">
      <c r="B2" s="12" t="s">
        <v>106</v>
      </c>
    </row>
    <row r="3" spans="2:9" x14ac:dyDescent="0.2">
      <c r="B3" s="13" t="s">
        <v>107</v>
      </c>
    </row>
    <row r="5" spans="2:9" ht="30" customHeight="1" x14ac:dyDescent="0.2">
      <c r="B5" s="14" t="s">
        <v>108</v>
      </c>
      <c r="C5" s="15" t="s">
        <v>57</v>
      </c>
      <c r="D5" s="15" t="s">
        <v>58</v>
      </c>
      <c r="E5" s="15" t="s">
        <v>59</v>
      </c>
      <c r="F5" s="15" t="s">
        <v>60</v>
      </c>
      <c r="G5" s="15" t="s">
        <v>61</v>
      </c>
      <c r="H5" s="15" t="s">
        <v>62</v>
      </c>
      <c r="I5" s="16" t="s">
        <v>63</v>
      </c>
    </row>
    <row r="6" spans="2:9" x14ac:dyDescent="0.2">
      <c r="B6" s="17" t="s">
        <v>109</v>
      </c>
      <c r="C6" s="18"/>
      <c r="D6" s="18"/>
      <c r="E6" s="18"/>
      <c r="F6" s="18"/>
      <c r="G6" s="18"/>
      <c r="H6" s="18"/>
      <c r="I6" s="18"/>
    </row>
    <row r="7" spans="2:9" x14ac:dyDescent="0.2">
      <c r="B7" s="19" t="s">
        <v>110</v>
      </c>
      <c r="C7" s="28">
        <v>144</v>
      </c>
      <c r="D7" s="28">
        <f>C10</f>
        <v>288</v>
      </c>
      <c r="E7" s="28">
        <f>D10</f>
        <v>460.80000000000007</v>
      </c>
      <c r="F7" s="28">
        <f>E10</f>
        <v>684</v>
      </c>
      <c r="G7" s="28">
        <f>F10</f>
        <v>1183.1999999999998</v>
      </c>
      <c r="H7" s="28">
        <f>G10</f>
        <v>2144.3999999999996</v>
      </c>
    </row>
    <row r="8" spans="2:9" x14ac:dyDescent="0.2">
      <c r="B8" s="19" t="s">
        <v>111</v>
      </c>
      <c r="C8" s="28">
        <f>SUM('Revenue (monthly)'!C40:E40)*12</f>
        <v>144</v>
      </c>
      <c r="D8" s="28">
        <f>SUM('Revenue (monthly)'!F40:H40)*12</f>
        <v>144</v>
      </c>
      <c r="E8" s="28">
        <f>SUM('Revenue (monthly)'!I40:K40)*12</f>
        <v>180</v>
      </c>
      <c r="F8" s="28">
        <f>SUM('Revenue (monthly)'!L40:N40)*12</f>
        <v>420</v>
      </c>
      <c r="G8" s="28">
        <f>SUM('Revenue (monthly)'!O40:Q40)*12</f>
        <v>840</v>
      </c>
      <c r="H8" s="28">
        <f>SUM('Revenue (monthly)'!R40:T40)*12</f>
        <v>840</v>
      </c>
    </row>
    <row r="9" spans="2:9" x14ac:dyDescent="0.2">
      <c r="B9" s="19" t="s">
        <v>112</v>
      </c>
      <c r="C9" s="28">
        <f t="shared" ref="C9:H9" si="0">C11-C8</f>
        <v>0</v>
      </c>
      <c r="D9" s="28">
        <f t="shared" si="0"/>
        <v>28.800000000000068</v>
      </c>
      <c r="E9" s="28">
        <f t="shared" si="0"/>
        <v>43.199999999999932</v>
      </c>
      <c r="F9" s="28">
        <f t="shared" si="0"/>
        <v>79.199999999999818</v>
      </c>
      <c r="G9" s="28">
        <f t="shared" si="0"/>
        <v>121.19999999999982</v>
      </c>
      <c r="H9" s="28">
        <f t="shared" si="0"/>
        <v>205.20000000000073</v>
      </c>
    </row>
    <row r="10" spans="2:9" x14ac:dyDescent="0.2">
      <c r="B10" s="21" t="s">
        <v>113</v>
      </c>
      <c r="C10" s="34">
        <f>'Revenue (monthly)'!E39*12</f>
        <v>288</v>
      </c>
      <c r="D10" s="34">
        <f>'Revenue (monthly)'!H39*12</f>
        <v>460.80000000000007</v>
      </c>
      <c r="E10" s="34">
        <f>'Revenue (monthly)'!K39*12</f>
        <v>684</v>
      </c>
      <c r="F10" s="34">
        <f>'Revenue (monthly)'!N39*12</f>
        <v>1183.1999999999998</v>
      </c>
      <c r="G10" s="34">
        <f>'Revenue (monthly)'!Q39*12</f>
        <v>2144.3999999999996</v>
      </c>
      <c r="H10" s="34">
        <f>'Revenue (monthly)'!T39*12</f>
        <v>3189.6000000000004</v>
      </c>
      <c r="I10" s="35"/>
    </row>
    <row r="11" spans="2:9" x14ac:dyDescent="0.2">
      <c r="B11" s="25" t="s">
        <v>114</v>
      </c>
      <c r="C11" s="26">
        <f t="shared" ref="C11:H11" si="1">C10-C7</f>
        <v>144</v>
      </c>
      <c r="D11" s="26">
        <f t="shared" si="1"/>
        <v>172.80000000000007</v>
      </c>
      <c r="E11" s="26">
        <f t="shared" si="1"/>
        <v>223.19999999999993</v>
      </c>
      <c r="F11" s="26">
        <f t="shared" si="1"/>
        <v>499.19999999999982</v>
      </c>
      <c r="G11" s="26">
        <f t="shared" si="1"/>
        <v>961.19999999999982</v>
      </c>
      <c r="H11" s="26">
        <f t="shared" si="1"/>
        <v>1045.2000000000007</v>
      </c>
      <c r="I11" s="39"/>
    </row>
    <row r="12" spans="2:9" x14ac:dyDescent="0.2">
      <c r="B12" s="19" t="s">
        <v>115</v>
      </c>
      <c r="C12" s="40">
        <f t="shared" ref="C12:H12" si="2">IF(C7&gt;0,C10/C7-1,"")</f>
        <v>1</v>
      </c>
      <c r="D12" s="40">
        <f t="shared" si="2"/>
        <v>0.60000000000000031</v>
      </c>
      <c r="E12" s="40">
        <f t="shared" si="2"/>
        <v>0.48437499999999978</v>
      </c>
      <c r="F12" s="40">
        <f t="shared" si="2"/>
        <v>0.7298245614035086</v>
      </c>
      <c r="G12" s="40">
        <f t="shared" si="2"/>
        <v>0.81237322515212984</v>
      </c>
      <c r="H12" s="40">
        <f t="shared" si="2"/>
        <v>0.48740906547286</v>
      </c>
    </row>
    <row r="13" spans="2:9" x14ac:dyDescent="0.2">
      <c r="B13" s="38" t="s">
        <v>116</v>
      </c>
    </row>
    <row r="14" spans="2:9" x14ac:dyDescent="0.2">
      <c r="B14" s="38" t="s">
        <v>117</v>
      </c>
    </row>
    <row r="15" spans="2:9" x14ac:dyDescent="0.2">
      <c r="B15" s="38" t="s">
        <v>118</v>
      </c>
    </row>
    <row r="16" spans="2:9" x14ac:dyDescent="0.2">
      <c r="B16" s="38" t="s">
        <v>119</v>
      </c>
    </row>
    <row r="17" spans="2:9" x14ac:dyDescent="0.2">
      <c r="B17" s="38" t="s">
        <v>120</v>
      </c>
    </row>
    <row r="19" spans="2:9" x14ac:dyDescent="0.2">
      <c r="B19" s="17" t="s">
        <v>121</v>
      </c>
      <c r="C19" s="18"/>
      <c r="D19" s="18"/>
      <c r="E19" s="18"/>
      <c r="F19" s="18"/>
      <c r="G19" s="18"/>
      <c r="H19" s="18"/>
      <c r="I19" s="18"/>
    </row>
    <row r="20" spans="2:9" x14ac:dyDescent="0.2">
      <c r="B20" s="19" t="s">
        <v>122</v>
      </c>
      <c r="C20" s="41">
        <f>SUM('Revenue (monthly)'!C41:E41)</f>
        <v>1</v>
      </c>
      <c r="D20" s="41">
        <f>SUM('Revenue (monthly)'!F41:H41)</f>
        <v>1</v>
      </c>
      <c r="E20" s="41">
        <f>SUM('Revenue (monthly)'!I41:K41)</f>
        <v>1</v>
      </c>
      <c r="F20" s="41">
        <f>SUM('Revenue (monthly)'!L41:N41)</f>
        <v>1</v>
      </c>
      <c r="G20" s="41">
        <f>SUM('Revenue (monthly)'!O41:Q41)</f>
        <v>2</v>
      </c>
      <c r="H20" s="41">
        <f>SUM('Revenue (monthly)'!R41:T41)</f>
        <v>2</v>
      </c>
    </row>
    <row r="21" spans="2:9" x14ac:dyDescent="0.2">
      <c r="B21" s="19" t="s">
        <v>123</v>
      </c>
      <c r="C21" s="28">
        <f t="shared" ref="C21:H21" si="3">IF(C20&gt;0,C8/C20,"")</f>
        <v>144</v>
      </c>
      <c r="D21" s="28">
        <f t="shared" si="3"/>
        <v>144</v>
      </c>
      <c r="E21" s="28">
        <f t="shared" si="3"/>
        <v>180</v>
      </c>
      <c r="F21" s="28">
        <f t="shared" si="3"/>
        <v>420</v>
      </c>
      <c r="G21" s="28">
        <f t="shared" si="3"/>
        <v>420</v>
      </c>
      <c r="H21" s="28">
        <f t="shared" si="3"/>
        <v>420</v>
      </c>
    </row>
    <row r="22" spans="2:9" x14ac:dyDescent="0.2">
      <c r="B22" s="19" t="s">
        <v>124</v>
      </c>
      <c r="C22" s="40">
        <f>IF('Quarterly Summary'!C10&gt;0,('Quarterly Summary'!C10-SUM('Expenses (monthly)'!C50:E50))/'Quarterly Summary'!C10,"")</f>
        <v>0.58360655737704914</v>
      </c>
      <c r="D22" s="40">
        <f>IF('Quarterly Summary'!D10&gt;0,('Quarterly Summary'!D10-SUM('Expenses (monthly)'!F50:H50))/'Quarterly Summary'!D10,"")</f>
        <v>0.56567796610169496</v>
      </c>
      <c r="E22" s="40">
        <f>IF('Quarterly Summary'!E10&gt;0,('Quarterly Summary'!E10-SUM('Expenses (monthly)'!I50:K50))/'Quarterly Summary'!E10,"")</f>
        <v>0.54845814977973562</v>
      </c>
      <c r="F22" s="40">
        <f>IF('Quarterly Summary'!F10&gt;0,('Quarterly Summary'!F10-SUM('Expenses (monthly)'!L50:N50))/'Quarterly Summary'!F10,"")</f>
        <v>0.68839244587747583</v>
      </c>
      <c r="G22" s="40">
        <f>IF('Quarterly Summary'!G10&gt;0,('Quarterly Summary'!G10-SUM('Expenses (monthly)'!O50:Q50))/'Quarterly Summary'!G10,"")</f>
        <v>0.77358490566037741</v>
      </c>
      <c r="H22" s="40">
        <f>IF('Quarterly Summary'!H10&gt;0,('Quarterly Summary'!H10-SUM('Expenses (monthly)'!R50:T50))/'Quarterly Summary'!H10,"")</f>
        <v>0.8284847804110973</v>
      </c>
    </row>
    <row r="23" spans="2:9" x14ac:dyDescent="0.2">
      <c r="B23" s="38" t="s">
        <v>125</v>
      </c>
    </row>
    <row r="24" spans="2:9" x14ac:dyDescent="0.2">
      <c r="B24" s="38" t="s">
        <v>126</v>
      </c>
    </row>
    <row r="26" spans="2:9" x14ac:dyDescent="0.2">
      <c r="B26" s="17" t="s">
        <v>127</v>
      </c>
      <c r="C26" s="18"/>
      <c r="D26" s="18"/>
      <c r="E26" s="18"/>
      <c r="F26" s="18"/>
      <c r="G26" s="18"/>
      <c r="H26" s="18"/>
      <c r="I26" s="18"/>
    </row>
    <row r="27" spans="2:9" x14ac:dyDescent="0.2">
      <c r="B27" s="19" t="s">
        <v>128</v>
      </c>
      <c r="C27" s="28">
        <f ca="1">'Quarterly Summary'!C45</f>
        <v>-261.67775959999994</v>
      </c>
      <c r="D27" s="28">
        <f ca="1">'Quarterly Summary'!D45</f>
        <v>-321.99375959999998</v>
      </c>
      <c r="E27" s="28">
        <f ca="1">'Quarterly Summary'!E45</f>
        <v>-364.48025960000001</v>
      </c>
      <c r="F27" s="28">
        <f ca="1">'Quarterly Summary'!F45</f>
        <v>-227.1512596</v>
      </c>
      <c r="G27" s="28">
        <f ca="1">'Quarterly Summary'!G45</f>
        <v>-152.89625960000001</v>
      </c>
      <c r="H27" s="28">
        <f ca="1">'Quarterly Summary'!H45</f>
        <v>132.02374040000007</v>
      </c>
    </row>
    <row r="28" spans="2:9" x14ac:dyDescent="0.2">
      <c r="B28" s="19" t="s">
        <v>100</v>
      </c>
      <c r="C28" s="28">
        <f ca="1">'Quarterly Summary'!C46</f>
        <v>-261.67775959999994</v>
      </c>
      <c r="D28" s="28">
        <f ca="1">'Quarterly Summary'!D46</f>
        <v>-583.67151919999992</v>
      </c>
      <c r="E28" s="28">
        <f ca="1">'Quarterly Summary'!E46</f>
        <v>-948.15177879999987</v>
      </c>
      <c r="F28" s="28">
        <f ca="1">'Quarterly Summary'!F46</f>
        <v>-1175.3030383999999</v>
      </c>
      <c r="G28" s="28">
        <f ca="1">'Quarterly Summary'!G46</f>
        <v>-1328.199298</v>
      </c>
      <c r="H28" s="28">
        <f ca="1">'Quarterly Summary'!H46</f>
        <v>-1196.1755576</v>
      </c>
    </row>
    <row r="30" spans="2:9" x14ac:dyDescent="0.2">
      <c r="B30" s="17" t="s">
        <v>129</v>
      </c>
      <c r="C30" s="18"/>
      <c r="D30" s="18"/>
      <c r="E30" s="18"/>
      <c r="F30" s="18"/>
      <c r="G30" s="18"/>
      <c r="H30" s="18"/>
      <c r="I30" s="18"/>
    </row>
    <row r="31" spans="2:9" x14ac:dyDescent="0.2">
      <c r="B31" s="42" t="s">
        <v>130</v>
      </c>
    </row>
    <row r="32" spans="2:9" x14ac:dyDescent="0.2">
      <c r="B32" s="42" t="s">
        <v>131</v>
      </c>
    </row>
    <row r="33" spans="2:4" x14ac:dyDescent="0.2">
      <c r="B33" s="42" t="s">
        <v>132</v>
      </c>
    </row>
    <row r="35" spans="2:4" x14ac:dyDescent="0.2">
      <c r="B35" s="43" t="s">
        <v>133</v>
      </c>
      <c r="C35" s="44">
        <v>1500</v>
      </c>
      <c r="D35" s="38" t="s">
        <v>134</v>
      </c>
    </row>
    <row r="36" spans="2:4" x14ac:dyDescent="0.2">
      <c r="B36" s="43" t="s">
        <v>135</v>
      </c>
      <c r="C36" s="44">
        <f>'Quarterly Summary'!I10-'Expenses (monthly)'!U50</f>
        <v>1793.6</v>
      </c>
      <c r="D36" s="38" t="s">
        <v>269</v>
      </c>
    </row>
    <row r="37" spans="2:4" x14ac:dyDescent="0.2">
      <c r="B37" s="43" t="s">
        <v>136</v>
      </c>
      <c r="C37" s="44">
        <f>'Quarterly Summary'!I38</f>
        <v>-763.25755759999993</v>
      </c>
      <c r="D37" s="38" t="s">
        <v>270</v>
      </c>
    </row>
    <row r="38" spans="2:4" x14ac:dyDescent="0.2">
      <c r="B38" s="43" t="s">
        <v>137</v>
      </c>
      <c r="C38" s="44">
        <f>H10</f>
        <v>3189.6000000000004</v>
      </c>
      <c r="D38" s="38" t="s">
        <v>138</v>
      </c>
    </row>
    <row r="39" spans="2:4" x14ac:dyDescent="0.2">
      <c r="B39" s="43" t="s">
        <v>139</v>
      </c>
      <c r="C39" s="45">
        <f>H22</f>
        <v>0.8284847804110973</v>
      </c>
      <c r="D39" s="38" t="s">
        <v>140</v>
      </c>
    </row>
    <row r="40" spans="2:4" x14ac:dyDescent="0.2">
      <c r="B40" s="43" t="s">
        <v>141</v>
      </c>
      <c r="C40" s="44">
        <f ca="1">1500+MIN('Quarterly Summary'!C46:H46)</f>
        <v>171.800702</v>
      </c>
      <c r="D40" s="38" t="s">
        <v>142</v>
      </c>
    </row>
    <row r="41" spans="2:4" x14ac:dyDescent="0.2">
      <c r="B41" s="43" t="s">
        <v>143</v>
      </c>
      <c r="C41" s="46" t="str">
        <f ca="1">IF((1500+MIN('Quarterly Summary'!C46:H46))&gt;0,"Yes — 18+ months","No")</f>
        <v>Yes — 18+ months</v>
      </c>
      <c r="D41" s="38" t="s">
        <v>144</v>
      </c>
    </row>
    <row r="42" spans="2:4" x14ac:dyDescent="0.2">
      <c r="B42" s="43" t="s">
        <v>145</v>
      </c>
      <c r="C42" s="46" t="str">
        <f ca="1">"Q"&amp;(COUNTIF('Quarterly Summary'!C45:H45,"&lt;0")+1)</f>
        <v>Q6</v>
      </c>
      <c r="D42" s="38" t="s">
        <v>146</v>
      </c>
    </row>
    <row r="43" spans="2:4" x14ac:dyDescent="0.2">
      <c r="B43" s="43" t="s">
        <v>147</v>
      </c>
      <c r="C43" s="47">
        <f ca="1">(1500+MIN('Quarterly Summary'!C46:H46))/(-MIN('Quarterly Summary'!C45:H45)/3)</f>
        <v>1.4140741300108535</v>
      </c>
      <c r="D43" s="38" t="s">
        <v>148</v>
      </c>
    </row>
    <row r="44" spans="2:4" x14ac:dyDescent="0.2">
      <c r="B44" s="38" t="s">
        <v>149</v>
      </c>
    </row>
    <row r="45" spans="2:4" x14ac:dyDescent="0.2">
      <c r="B45" s="38" t="s">
        <v>150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29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2" width="48" customWidth="1"/>
    <col min="3" max="5" width="18" customWidth="1"/>
    <col min="6" max="6" width="10" customWidth="1"/>
  </cols>
  <sheetData>
    <row r="2" spans="2:6" ht="17" x14ac:dyDescent="0.2">
      <c r="B2" s="48" t="s">
        <v>151</v>
      </c>
    </row>
    <row r="3" spans="2:6" x14ac:dyDescent="0.2">
      <c r="B3" s="49" t="s">
        <v>152</v>
      </c>
    </row>
    <row r="5" spans="2:6" ht="31.5" customHeight="1" x14ac:dyDescent="0.2">
      <c r="B5" s="15"/>
      <c r="C5" s="15" t="s">
        <v>153</v>
      </c>
      <c r="D5" s="15" t="s">
        <v>154</v>
      </c>
      <c r="E5" s="15" t="s">
        <v>155</v>
      </c>
      <c r="F5" s="15" t="s">
        <v>156</v>
      </c>
    </row>
    <row r="6" spans="2:6" x14ac:dyDescent="0.2">
      <c r="B6" s="17" t="s">
        <v>157</v>
      </c>
      <c r="C6" s="18"/>
      <c r="D6" s="18"/>
      <c r="E6" s="18"/>
      <c r="F6" s="18"/>
    </row>
    <row r="7" spans="2:6" x14ac:dyDescent="0.2">
      <c r="B7" s="43" t="s">
        <v>158</v>
      </c>
      <c r="C7" s="28">
        <f>SUM('Expenses (monthly)'!C16:F16)+SUM('Expenses (monthly)'!C17:F17)+SUM('Expenses (monthly)'!C18:F18)</f>
        <v>182.998648</v>
      </c>
      <c r="D7" s="28">
        <f>SUM('Expenses (monthly)'!G16:T16)+SUM('Expenses (monthly)'!G17:T17)+SUM('Expenses (monthly)'!G18:T18)</f>
        <v>1542.1627679999999</v>
      </c>
      <c r="E7" s="28">
        <f>SUM('Expenses (monthly)'!C16:T16)+SUM('Expenses (monthly)'!C17:T17)+SUM('Expenses (monthly)'!C18:T18)</f>
        <v>1725.1614159999999</v>
      </c>
      <c r="F7" s="40">
        <f t="shared" ref="F7:F12" si="0">IF($E$13&gt;0,E7/$E$13,"")</f>
        <v>0.53932234154512593</v>
      </c>
    </row>
    <row r="8" spans="2:6" x14ac:dyDescent="0.2">
      <c r="B8" s="43" t="s">
        <v>159</v>
      </c>
      <c r="C8" s="28">
        <f>SUM('Expenses (monthly)'!C27:F27)+SUM('Expenses (monthly)'!C28:F28)+SUM('Expenses (monthly)'!C29:F29)+SUM('Expenses (monthly)'!C30:F30)+SUM('Expenses (monthly)'!C19:F19)+SUM('Expenses (monthly)'!C20:F20)</f>
        <v>113.9</v>
      </c>
      <c r="D8" s="28">
        <f>SUM('Expenses (monthly)'!G27:T27)+SUM('Expenses (monthly)'!G28:T28)+SUM('Expenses (monthly)'!G29:T29)+SUM('Expenses (monthly)'!G30:T30)+SUM('Expenses (monthly)'!G19:T19)+SUM('Expenses (monthly)'!G20:T20)</f>
        <v>427.9</v>
      </c>
      <c r="E8" s="28">
        <f>SUM('Expenses (monthly)'!C27:T27)+SUM('Expenses (monthly)'!C28:T28)+SUM('Expenses (monthly)'!C29:T29)+SUM('Expenses (monthly)'!C30:T30)+SUM('Expenses (monthly)'!C19:T19)+SUM('Expenses (monthly)'!C20:T20)</f>
        <v>541.79999999999995</v>
      </c>
      <c r="F8" s="40">
        <f t="shared" si="0"/>
        <v>0.16937826335500955</v>
      </c>
    </row>
    <row r="9" spans="2:6" x14ac:dyDescent="0.2">
      <c r="B9" s="43" t="s">
        <v>160</v>
      </c>
      <c r="C9" s="28">
        <f>SUM('Expenses (monthly)'!C24:F24)+SUM('Expenses (monthly)'!C25:F25)+SUM('Expenses (monthly)'!C26:F26)</f>
        <v>16.5</v>
      </c>
      <c r="D9" s="28">
        <f>SUM('Expenses (monthly)'!G24:T24)+SUM('Expenses (monthly)'!G25:T25)+SUM('Expenses (monthly)'!G26:T26)</f>
        <v>174</v>
      </c>
      <c r="E9" s="28">
        <f>SUM('Expenses (monthly)'!C24:T24)+SUM('Expenses (monthly)'!C25:T25)+SUM('Expenses (monthly)'!C26:T26)</f>
        <v>190.5</v>
      </c>
      <c r="F9" s="40">
        <f t="shared" si="0"/>
        <v>5.9554372774325071E-2</v>
      </c>
    </row>
    <row r="10" spans="2:6" x14ac:dyDescent="0.2">
      <c r="B10" s="43" t="s">
        <v>161</v>
      </c>
      <c r="C10" s="28">
        <f>SUM('Expenses (monthly)'!C21:F21)+SUM('Expenses (monthly)'!C36:F36)+SUM('Expenses (monthly)'!C37:F37)+SUM('Expenses (monthly)'!C32:F32)+SUM('Expenses (monthly)'!C33:F33)+SUM('Expenses (monthly)'!C34:F34)+SUM('Expenses (monthly)'!C35:F35)</f>
        <v>28.5</v>
      </c>
      <c r="D10" s="28">
        <f>SUM('Expenses (monthly)'!G21:T21)+SUM('Expenses (monthly)'!G36:T36)+SUM('Expenses (monthly)'!G37:T37)+SUM('Expenses (monthly)'!G32:T32)+SUM('Expenses (monthly)'!G33:T33)+SUM('Expenses (monthly)'!G34:T34)+SUM('Expenses (monthly)'!G35:T35)</f>
        <v>214.5</v>
      </c>
      <c r="E10" s="28">
        <f>SUM('Expenses (monthly)'!C21:T21)+SUM('Expenses (monthly)'!C36:T36)+SUM('Expenses (monthly)'!C37:T37)+SUM('Expenses (monthly)'!C32:T32)+SUM('Expenses (monthly)'!C33:T33)+SUM('Expenses (monthly)'!C34:T34)+SUM('Expenses (monthly)'!C35:T35)</f>
        <v>243</v>
      </c>
      <c r="F10" s="40">
        <f t="shared" si="0"/>
        <v>7.5966995192446152E-2</v>
      </c>
    </row>
    <row r="11" spans="2:6" x14ac:dyDescent="0.2">
      <c r="B11" s="43" t="s">
        <v>162</v>
      </c>
      <c r="C11" s="28">
        <f>SUM('Expenses (monthly)'!C38:F38)+SUM('Expenses (monthly)'!C39:F39)+SUM('Expenses (monthly)'!C40:F40)+SUM('Expenses (monthly)'!C31:F31)</f>
        <v>32.299999999999997</v>
      </c>
      <c r="D11" s="28">
        <f>SUM('Expenses (monthly)'!G38:T38)+SUM('Expenses (monthly)'!G39:T39)+SUM('Expenses (monthly)'!G40:T40)+SUM('Expenses (monthly)'!G31:T31)</f>
        <v>175.2</v>
      </c>
      <c r="E11" s="28">
        <f>SUM('Expenses (monthly)'!C38:T38)+SUM('Expenses (monthly)'!C39:T39)+SUM('Expenses (monthly)'!C40:T40)+SUM('Expenses (monthly)'!C31:T31)</f>
        <v>207.5</v>
      </c>
      <c r="F11" s="40">
        <f t="shared" si="0"/>
        <v>6.4868936224002374E-2</v>
      </c>
    </row>
    <row r="12" spans="2:6" x14ac:dyDescent="0.2">
      <c r="B12" s="43" t="s">
        <v>91</v>
      </c>
      <c r="C12" s="28">
        <f>SUM('Expenses (monthly)'!C44:F44)</f>
        <v>37.419864799999999</v>
      </c>
      <c r="D12" s="28">
        <f>SUM('Expenses (monthly)'!G44:T44)</f>
        <v>253.37627680000003</v>
      </c>
      <c r="E12" s="28">
        <f>SUM('Expenses (monthly)'!C44:T44)</f>
        <v>290.7961416</v>
      </c>
      <c r="F12" s="40">
        <f t="shared" si="0"/>
        <v>9.0909090909090912E-2</v>
      </c>
    </row>
    <row r="13" spans="2:6" x14ac:dyDescent="0.2">
      <c r="B13" s="50" t="s">
        <v>163</v>
      </c>
      <c r="C13" s="51">
        <f>SUM(C7:C12)</f>
        <v>411.61851279999996</v>
      </c>
      <c r="D13" s="51">
        <f>SUM(D7:D12)</f>
        <v>2787.1390447999997</v>
      </c>
      <c r="E13" s="51">
        <f>SUM(E7:E12)</f>
        <v>3198.7575575999999</v>
      </c>
      <c r="F13" s="52">
        <f>1</f>
        <v>1</v>
      </c>
    </row>
    <row r="15" spans="2:6" x14ac:dyDescent="0.2">
      <c r="B15" s="17" t="s">
        <v>164</v>
      </c>
      <c r="C15" s="18"/>
      <c r="D15" s="18"/>
      <c r="E15" s="18"/>
      <c r="F15" s="18"/>
    </row>
    <row r="16" spans="2:6" x14ac:dyDescent="0.2">
      <c r="B16" s="50" t="s">
        <v>165</v>
      </c>
      <c r="C16" s="53">
        <v>400</v>
      </c>
      <c r="D16" s="53">
        <v>1100</v>
      </c>
      <c r="E16" s="53">
        <v>1500</v>
      </c>
    </row>
    <row r="17" spans="2:6" x14ac:dyDescent="0.2">
      <c r="B17" s="43" t="s">
        <v>166</v>
      </c>
      <c r="C17" s="28">
        <f ca="1">SUM('Revenue (monthly)'!C37:F37)</f>
        <v>53.08</v>
      </c>
      <c r="D17" s="28">
        <f ca="1">SUM('Revenue (monthly)'!G37:T37)</f>
        <v>1949.5019999999995</v>
      </c>
      <c r="E17" s="28">
        <f ca="1">SUM('Revenue (monthly)'!C37:T37)</f>
        <v>2002.5819999999999</v>
      </c>
    </row>
    <row r="18" spans="2:6" x14ac:dyDescent="0.2">
      <c r="B18" s="50" t="s">
        <v>167</v>
      </c>
      <c r="C18" s="53">
        <f ca="1">C16+C17</f>
        <v>453.08</v>
      </c>
      <c r="D18" s="53">
        <f ca="1">D16+D17</f>
        <v>3049.5019999999995</v>
      </c>
      <c r="E18" s="53">
        <f ca="1">E16+E17</f>
        <v>3502.5819999999999</v>
      </c>
    </row>
    <row r="19" spans="2:6" x14ac:dyDescent="0.2">
      <c r="B19" s="43" t="s">
        <v>168</v>
      </c>
      <c r="C19" s="28">
        <f>-C13</f>
        <v>-411.61851279999996</v>
      </c>
      <c r="D19" s="28">
        <f>-D13</f>
        <v>-2787.1390447999997</v>
      </c>
      <c r="E19" s="28">
        <f>-E13</f>
        <v>-3198.7575575999999</v>
      </c>
    </row>
    <row r="21" spans="2:6" x14ac:dyDescent="0.2">
      <c r="B21" s="54" t="s">
        <v>169</v>
      </c>
      <c r="E21" s="55">
        <f ca="1">1500+SUM('Revenue (monthly)'!C37:T37)-E13</f>
        <v>303.82444239999995</v>
      </c>
    </row>
    <row r="23" spans="2:6" x14ac:dyDescent="0.2">
      <c r="B23" s="38" t="s">
        <v>170</v>
      </c>
    </row>
    <row r="24" spans="2:6" x14ac:dyDescent="0.2">
      <c r="B24" s="38" t="s">
        <v>171</v>
      </c>
    </row>
    <row r="25" spans="2:6" x14ac:dyDescent="0.2">
      <c r="B25" s="38" t="s">
        <v>172</v>
      </c>
    </row>
    <row r="27" spans="2:6" x14ac:dyDescent="0.2">
      <c r="B27" s="17" t="s">
        <v>173</v>
      </c>
      <c r="C27" s="18"/>
      <c r="D27" s="18"/>
      <c r="E27" s="18"/>
      <c r="F27" s="18"/>
    </row>
    <row r="28" spans="2:6" x14ac:dyDescent="0.2">
      <c r="B28" s="9" t="s">
        <v>174</v>
      </c>
    </row>
    <row r="29" spans="2:6" x14ac:dyDescent="0.2">
      <c r="B29" s="9" t="s">
        <v>175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Y4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6640625" defaultRowHeight="15" x14ac:dyDescent="0.2"/>
  <cols>
    <col min="1" max="1" width="2" customWidth="1"/>
    <col min="2" max="2" width="34" customWidth="1"/>
    <col min="3" max="20" width="8.5" customWidth="1"/>
    <col min="21" max="21" width="10" customWidth="1"/>
    <col min="23" max="25" width="9" customWidth="1"/>
  </cols>
  <sheetData>
    <row r="2" spans="2:25" ht="17" x14ac:dyDescent="0.2">
      <c r="B2" s="48" t="s">
        <v>176</v>
      </c>
    </row>
    <row r="3" spans="2:25" x14ac:dyDescent="0.2">
      <c r="B3" s="56" t="s">
        <v>177</v>
      </c>
      <c r="C3" s="57" t="s">
        <v>178</v>
      </c>
      <c r="D3" s="57" t="s">
        <v>179</v>
      </c>
      <c r="E3" s="57" t="s">
        <v>180</v>
      </c>
      <c r="F3" s="57" t="s">
        <v>181</v>
      </c>
      <c r="G3" s="57" t="s">
        <v>182</v>
      </c>
      <c r="H3" s="57" t="s">
        <v>183</v>
      </c>
      <c r="I3" s="57" t="s">
        <v>184</v>
      </c>
      <c r="J3" s="57" t="s">
        <v>185</v>
      </c>
      <c r="K3" s="57" t="s">
        <v>186</v>
      </c>
      <c r="L3" s="57" t="s">
        <v>187</v>
      </c>
      <c r="M3" s="57" t="s">
        <v>188</v>
      </c>
      <c r="N3" s="57" t="s">
        <v>189</v>
      </c>
      <c r="O3" s="57" t="s">
        <v>190</v>
      </c>
      <c r="P3" s="57" t="s">
        <v>191</v>
      </c>
      <c r="Q3" s="57" t="s">
        <v>192</v>
      </c>
      <c r="R3" s="57" t="s">
        <v>193</v>
      </c>
      <c r="S3" s="57" t="s">
        <v>194</v>
      </c>
      <c r="T3" s="57" t="s">
        <v>195</v>
      </c>
      <c r="U3" s="58" t="s">
        <v>63</v>
      </c>
      <c r="W3" s="59" t="s">
        <v>196</v>
      </c>
      <c r="X3" s="59" t="s">
        <v>197</v>
      </c>
      <c r="Y3" s="59" t="s">
        <v>198</v>
      </c>
    </row>
    <row r="4" spans="2:25" x14ac:dyDescent="0.2">
      <c r="B4" s="60" t="s">
        <v>199</v>
      </c>
      <c r="C4" s="61">
        <v>1</v>
      </c>
      <c r="D4" s="61">
        <v>2</v>
      </c>
      <c r="E4" s="61">
        <v>3</v>
      </c>
      <c r="F4" s="61">
        <v>4</v>
      </c>
      <c r="G4" s="61">
        <v>5</v>
      </c>
      <c r="H4" s="61">
        <v>6</v>
      </c>
      <c r="I4" s="61">
        <v>7</v>
      </c>
      <c r="J4" s="61">
        <v>8</v>
      </c>
      <c r="K4" s="61">
        <v>9</v>
      </c>
      <c r="L4" s="61">
        <v>10</v>
      </c>
      <c r="M4" s="61">
        <v>11</v>
      </c>
      <c r="N4" s="61">
        <v>12</v>
      </c>
      <c r="O4" s="61">
        <v>13</v>
      </c>
      <c r="P4" s="61">
        <v>14</v>
      </c>
      <c r="Q4" s="61">
        <v>15</v>
      </c>
      <c r="R4" s="61">
        <v>16</v>
      </c>
      <c r="S4" s="61">
        <v>17</v>
      </c>
      <c r="T4" s="61">
        <v>18</v>
      </c>
    </row>
    <row r="5" spans="2:25" x14ac:dyDescent="0.2">
      <c r="B5" s="17" t="s">
        <v>200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5" x14ac:dyDescent="0.2">
      <c r="B6" s="19" t="s">
        <v>201</v>
      </c>
      <c r="C6" s="20">
        <f t="shared" ref="C6:L8" si="0">IF(C$4&lt;$W6,0,$X6*(1+$Y6*INT((C$4-$W6)/3)))</f>
        <v>0</v>
      </c>
      <c r="D6" s="20">
        <f t="shared" si="0"/>
        <v>12</v>
      </c>
      <c r="E6" s="20">
        <f t="shared" si="0"/>
        <v>12</v>
      </c>
      <c r="F6" s="20">
        <f t="shared" si="0"/>
        <v>12</v>
      </c>
      <c r="G6" s="20">
        <f t="shared" si="0"/>
        <v>13.200000000000001</v>
      </c>
      <c r="H6" s="20">
        <f t="shared" si="0"/>
        <v>13.200000000000001</v>
      </c>
      <c r="I6" s="20">
        <f t="shared" si="0"/>
        <v>13.200000000000001</v>
      </c>
      <c r="J6" s="20">
        <f t="shared" si="0"/>
        <v>14.399999999999999</v>
      </c>
      <c r="K6" s="20">
        <f t="shared" si="0"/>
        <v>14.399999999999999</v>
      </c>
      <c r="L6" s="20">
        <f t="shared" si="0"/>
        <v>14.399999999999999</v>
      </c>
      <c r="M6" s="20">
        <f t="shared" ref="M6:T8" si="1">IF(M$4&lt;$W6,0,$X6*(1+$Y6*INT((M$4-$W6)/3)))</f>
        <v>15.600000000000001</v>
      </c>
      <c r="N6" s="20">
        <f t="shared" si="1"/>
        <v>15.600000000000001</v>
      </c>
      <c r="O6" s="20">
        <f t="shared" si="1"/>
        <v>15.600000000000001</v>
      </c>
      <c r="P6" s="20">
        <f t="shared" si="1"/>
        <v>16.799999999999997</v>
      </c>
      <c r="Q6" s="20">
        <f t="shared" si="1"/>
        <v>16.799999999999997</v>
      </c>
      <c r="R6" s="20">
        <f t="shared" si="1"/>
        <v>16.799999999999997</v>
      </c>
      <c r="S6" s="20">
        <f t="shared" si="1"/>
        <v>18</v>
      </c>
      <c r="T6" s="20">
        <f t="shared" si="1"/>
        <v>18</v>
      </c>
      <c r="U6" s="20">
        <f>SUM(C6:T6)</f>
        <v>252</v>
      </c>
      <c r="W6" s="62">
        <v>2</v>
      </c>
      <c r="X6" s="62">
        <v>12</v>
      </c>
      <c r="Y6" s="63">
        <v>0.1</v>
      </c>
    </row>
    <row r="7" spans="2:25" x14ac:dyDescent="0.2">
      <c r="B7" s="19" t="s">
        <v>202</v>
      </c>
      <c r="C7" s="20">
        <f t="shared" si="0"/>
        <v>0</v>
      </c>
      <c r="D7" s="20">
        <f t="shared" si="0"/>
        <v>0</v>
      </c>
      <c r="E7" s="20">
        <f t="shared" si="0"/>
        <v>12</v>
      </c>
      <c r="F7" s="20">
        <f t="shared" si="0"/>
        <v>12</v>
      </c>
      <c r="G7" s="20">
        <f t="shared" si="0"/>
        <v>12</v>
      </c>
      <c r="H7" s="20">
        <f t="shared" si="0"/>
        <v>13.200000000000001</v>
      </c>
      <c r="I7" s="20">
        <f t="shared" si="0"/>
        <v>13.200000000000001</v>
      </c>
      <c r="J7" s="20">
        <f t="shared" si="0"/>
        <v>13.200000000000001</v>
      </c>
      <c r="K7" s="20">
        <f t="shared" si="0"/>
        <v>14.399999999999999</v>
      </c>
      <c r="L7" s="20">
        <f t="shared" si="0"/>
        <v>14.399999999999999</v>
      </c>
      <c r="M7" s="20">
        <f t="shared" si="1"/>
        <v>14.399999999999999</v>
      </c>
      <c r="N7" s="20">
        <f t="shared" si="1"/>
        <v>15.600000000000001</v>
      </c>
      <c r="O7" s="20">
        <f t="shared" si="1"/>
        <v>15.600000000000001</v>
      </c>
      <c r="P7" s="20">
        <f t="shared" si="1"/>
        <v>15.600000000000001</v>
      </c>
      <c r="Q7" s="20">
        <f t="shared" si="1"/>
        <v>16.799999999999997</v>
      </c>
      <c r="R7" s="20">
        <f t="shared" si="1"/>
        <v>16.799999999999997</v>
      </c>
      <c r="S7" s="20">
        <f t="shared" si="1"/>
        <v>16.799999999999997</v>
      </c>
      <c r="T7" s="20">
        <f t="shared" si="1"/>
        <v>18</v>
      </c>
      <c r="U7" s="20">
        <f>SUM(C7:T7)</f>
        <v>234</v>
      </c>
      <c r="W7" s="62">
        <v>3</v>
      </c>
      <c r="X7" s="62">
        <v>12</v>
      </c>
      <c r="Y7" s="63">
        <v>0.1</v>
      </c>
    </row>
    <row r="8" spans="2:25" x14ac:dyDescent="0.2">
      <c r="B8" s="19" t="s">
        <v>203</v>
      </c>
      <c r="C8" s="20">
        <f t="shared" si="0"/>
        <v>0</v>
      </c>
      <c r="D8" s="20">
        <f t="shared" si="0"/>
        <v>0</v>
      </c>
      <c r="E8" s="20">
        <f t="shared" si="0"/>
        <v>0</v>
      </c>
      <c r="F8" s="20">
        <f t="shared" si="0"/>
        <v>12</v>
      </c>
      <c r="G8" s="20">
        <f t="shared" si="0"/>
        <v>12</v>
      </c>
      <c r="H8" s="20">
        <f t="shared" si="0"/>
        <v>12</v>
      </c>
      <c r="I8" s="20">
        <f t="shared" si="0"/>
        <v>13.200000000000001</v>
      </c>
      <c r="J8" s="20">
        <f t="shared" si="0"/>
        <v>13.200000000000001</v>
      </c>
      <c r="K8" s="20">
        <f t="shared" si="0"/>
        <v>13.200000000000001</v>
      </c>
      <c r="L8" s="20">
        <f t="shared" si="0"/>
        <v>14.399999999999999</v>
      </c>
      <c r="M8" s="20">
        <f t="shared" si="1"/>
        <v>14.399999999999999</v>
      </c>
      <c r="N8" s="20">
        <f t="shared" si="1"/>
        <v>14.399999999999999</v>
      </c>
      <c r="O8" s="20">
        <f t="shared" si="1"/>
        <v>15.600000000000001</v>
      </c>
      <c r="P8" s="20">
        <f t="shared" si="1"/>
        <v>15.600000000000001</v>
      </c>
      <c r="Q8" s="20">
        <f t="shared" si="1"/>
        <v>15.600000000000001</v>
      </c>
      <c r="R8" s="20">
        <f t="shared" si="1"/>
        <v>16.799999999999997</v>
      </c>
      <c r="S8" s="20">
        <f t="shared" si="1"/>
        <v>16.799999999999997</v>
      </c>
      <c r="T8" s="20">
        <f t="shared" si="1"/>
        <v>16.799999999999997</v>
      </c>
      <c r="U8" s="20">
        <f>SUM(C8:T8)</f>
        <v>216</v>
      </c>
      <c r="W8" s="62">
        <v>4</v>
      </c>
      <c r="X8" s="62">
        <v>12</v>
      </c>
      <c r="Y8" s="63">
        <v>0.1</v>
      </c>
    </row>
    <row r="9" spans="2:25" x14ac:dyDescent="0.2">
      <c r="B9" s="64" t="s">
        <v>204</v>
      </c>
      <c r="C9" s="65">
        <f t="shared" ref="C9:T9" si="2">C6+C7+C8</f>
        <v>0</v>
      </c>
      <c r="D9" s="65">
        <f t="shared" si="2"/>
        <v>12</v>
      </c>
      <c r="E9" s="65">
        <f t="shared" si="2"/>
        <v>24</v>
      </c>
      <c r="F9" s="65">
        <f t="shared" si="2"/>
        <v>36</v>
      </c>
      <c r="G9" s="65">
        <f t="shared" si="2"/>
        <v>37.200000000000003</v>
      </c>
      <c r="H9" s="65">
        <f t="shared" si="2"/>
        <v>38.400000000000006</v>
      </c>
      <c r="I9" s="65">
        <f t="shared" si="2"/>
        <v>39.6</v>
      </c>
      <c r="J9" s="65">
        <f t="shared" si="2"/>
        <v>40.800000000000004</v>
      </c>
      <c r="K9" s="65">
        <f t="shared" si="2"/>
        <v>42</v>
      </c>
      <c r="L9" s="65">
        <f t="shared" si="2"/>
        <v>43.199999999999996</v>
      </c>
      <c r="M9" s="65">
        <f t="shared" si="2"/>
        <v>44.4</v>
      </c>
      <c r="N9" s="65">
        <f t="shared" si="2"/>
        <v>45.6</v>
      </c>
      <c r="O9" s="65">
        <f t="shared" si="2"/>
        <v>46.800000000000004</v>
      </c>
      <c r="P9" s="65">
        <f t="shared" si="2"/>
        <v>48</v>
      </c>
      <c r="Q9" s="65">
        <f t="shared" si="2"/>
        <v>49.199999999999996</v>
      </c>
      <c r="R9" s="65">
        <f t="shared" si="2"/>
        <v>50.399999999999991</v>
      </c>
      <c r="S9" s="65">
        <f t="shared" si="2"/>
        <v>51.599999999999994</v>
      </c>
      <c r="T9" s="65">
        <f t="shared" si="2"/>
        <v>52.8</v>
      </c>
      <c r="U9" s="65">
        <f>SUM(C9:T9)</f>
        <v>702</v>
      </c>
    </row>
    <row r="11" spans="2:25" x14ac:dyDescent="0.2">
      <c r="B11" s="17" t="s">
        <v>66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2:25" x14ac:dyDescent="0.2">
      <c r="B12" s="19" t="s">
        <v>205</v>
      </c>
      <c r="C12" s="20">
        <f t="shared" ref="C12:T12" si="3">IF(C$4&lt;$W12,0,$X12*(1+$Y12*INT((C$4-$W12)/3)))</f>
        <v>0</v>
      </c>
      <c r="D12" s="20">
        <f t="shared" si="3"/>
        <v>0</v>
      </c>
      <c r="E12" s="20">
        <f t="shared" si="3"/>
        <v>0</v>
      </c>
      <c r="F12" s="20">
        <f t="shared" si="3"/>
        <v>0</v>
      </c>
      <c r="G12" s="20">
        <f t="shared" si="3"/>
        <v>0</v>
      </c>
      <c r="H12" s="20">
        <f t="shared" si="3"/>
        <v>0</v>
      </c>
      <c r="I12" s="20">
        <f t="shared" si="3"/>
        <v>0</v>
      </c>
      <c r="J12" s="20">
        <f t="shared" si="3"/>
        <v>15</v>
      </c>
      <c r="K12" s="20">
        <f t="shared" si="3"/>
        <v>15</v>
      </c>
      <c r="L12" s="20">
        <f t="shared" si="3"/>
        <v>15</v>
      </c>
      <c r="M12" s="20">
        <f t="shared" si="3"/>
        <v>18</v>
      </c>
      <c r="N12" s="20">
        <f t="shared" si="3"/>
        <v>18</v>
      </c>
      <c r="O12" s="20">
        <f t="shared" si="3"/>
        <v>18</v>
      </c>
      <c r="P12" s="20">
        <f t="shared" si="3"/>
        <v>21</v>
      </c>
      <c r="Q12" s="20">
        <f t="shared" si="3"/>
        <v>21</v>
      </c>
      <c r="R12" s="20">
        <f t="shared" si="3"/>
        <v>21</v>
      </c>
      <c r="S12" s="20">
        <f t="shared" si="3"/>
        <v>24</v>
      </c>
      <c r="T12" s="20">
        <f t="shared" si="3"/>
        <v>24</v>
      </c>
      <c r="U12" s="20">
        <f>SUM(C12:T12)</f>
        <v>210</v>
      </c>
      <c r="W12" s="62">
        <v>8</v>
      </c>
      <c r="X12" s="62">
        <v>15</v>
      </c>
      <c r="Y12" s="63">
        <v>0.2</v>
      </c>
    </row>
    <row r="13" spans="2:25" x14ac:dyDescent="0.2">
      <c r="B13" s="19" t="s">
        <v>206</v>
      </c>
      <c r="C13" s="20">
        <f t="shared" ref="C13:T13" si="4">IF(C$4=$W13,$X13,0)</f>
        <v>0</v>
      </c>
      <c r="D13" s="20">
        <f t="shared" si="4"/>
        <v>25</v>
      </c>
      <c r="E13" s="20">
        <f t="shared" si="4"/>
        <v>0</v>
      </c>
      <c r="F13" s="20">
        <f t="shared" si="4"/>
        <v>0</v>
      </c>
      <c r="G13" s="20">
        <f t="shared" si="4"/>
        <v>0</v>
      </c>
      <c r="H13" s="20">
        <f t="shared" si="4"/>
        <v>0</v>
      </c>
      <c r="I13" s="20">
        <f t="shared" si="4"/>
        <v>0</v>
      </c>
      <c r="J13" s="20">
        <f t="shared" si="4"/>
        <v>0</v>
      </c>
      <c r="K13" s="20">
        <f t="shared" si="4"/>
        <v>0</v>
      </c>
      <c r="L13" s="20">
        <f t="shared" si="4"/>
        <v>0</v>
      </c>
      <c r="M13" s="20">
        <f t="shared" si="4"/>
        <v>0</v>
      </c>
      <c r="N13" s="20">
        <f t="shared" si="4"/>
        <v>0</v>
      </c>
      <c r="O13" s="20">
        <f t="shared" si="4"/>
        <v>0</v>
      </c>
      <c r="P13" s="20">
        <f t="shared" si="4"/>
        <v>0</v>
      </c>
      <c r="Q13" s="20">
        <f t="shared" si="4"/>
        <v>0</v>
      </c>
      <c r="R13" s="20">
        <f t="shared" si="4"/>
        <v>0</v>
      </c>
      <c r="S13" s="20">
        <f t="shared" si="4"/>
        <v>0</v>
      </c>
      <c r="T13" s="20">
        <f t="shared" si="4"/>
        <v>0</v>
      </c>
      <c r="U13" s="20">
        <f>SUM(C13:T13)</f>
        <v>25</v>
      </c>
      <c r="W13" s="62">
        <v>2</v>
      </c>
      <c r="X13" s="62">
        <v>25</v>
      </c>
    </row>
    <row r="14" spans="2:25" x14ac:dyDescent="0.2">
      <c r="B14" s="64" t="s">
        <v>207</v>
      </c>
      <c r="C14" s="65">
        <f t="shared" ref="C14:T14" si="5">C12+C13</f>
        <v>0</v>
      </c>
      <c r="D14" s="65">
        <f t="shared" si="5"/>
        <v>25</v>
      </c>
      <c r="E14" s="65">
        <f t="shared" si="5"/>
        <v>0</v>
      </c>
      <c r="F14" s="65">
        <f t="shared" si="5"/>
        <v>0</v>
      </c>
      <c r="G14" s="65">
        <f t="shared" si="5"/>
        <v>0</v>
      </c>
      <c r="H14" s="65">
        <f t="shared" si="5"/>
        <v>0</v>
      </c>
      <c r="I14" s="65">
        <f t="shared" si="5"/>
        <v>0</v>
      </c>
      <c r="J14" s="65">
        <f t="shared" si="5"/>
        <v>15</v>
      </c>
      <c r="K14" s="65">
        <f t="shared" si="5"/>
        <v>15</v>
      </c>
      <c r="L14" s="65">
        <f t="shared" si="5"/>
        <v>15</v>
      </c>
      <c r="M14" s="65">
        <f t="shared" si="5"/>
        <v>18</v>
      </c>
      <c r="N14" s="65">
        <f t="shared" si="5"/>
        <v>18</v>
      </c>
      <c r="O14" s="65">
        <f t="shared" si="5"/>
        <v>18</v>
      </c>
      <c r="P14" s="65">
        <f t="shared" si="5"/>
        <v>21</v>
      </c>
      <c r="Q14" s="65">
        <f t="shared" si="5"/>
        <v>21</v>
      </c>
      <c r="R14" s="65">
        <f t="shared" si="5"/>
        <v>21</v>
      </c>
      <c r="S14" s="65">
        <f t="shared" si="5"/>
        <v>24</v>
      </c>
      <c r="T14" s="65">
        <f t="shared" si="5"/>
        <v>24</v>
      </c>
      <c r="U14" s="65">
        <f>SUM(C14:T14)</f>
        <v>235</v>
      </c>
    </row>
    <row r="16" spans="2:25" x14ac:dyDescent="0.2">
      <c r="B16" s="17" t="s">
        <v>208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25" x14ac:dyDescent="0.2">
      <c r="B17" s="19" t="s">
        <v>209</v>
      </c>
      <c r="C17" s="20">
        <f t="shared" ref="C17:T17" si="6">IF(C$4&lt;$W17,0,$X17*(1+$Y17*INT((C$4-$W17)/3)))</f>
        <v>0</v>
      </c>
      <c r="D17" s="20">
        <f t="shared" si="6"/>
        <v>0</v>
      </c>
      <c r="E17" s="20">
        <f t="shared" si="6"/>
        <v>0</v>
      </c>
      <c r="F17" s="20">
        <f t="shared" si="6"/>
        <v>0</v>
      </c>
      <c r="G17" s="20">
        <f t="shared" si="6"/>
        <v>0</v>
      </c>
      <c r="H17" s="20">
        <f t="shared" si="6"/>
        <v>0</v>
      </c>
      <c r="I17" s="20">
        <f t="shared" si="6"/>
        <v>0</v>
      </c>
      <c r="J17" s="20">
        <f t="shared" si="6"/>
        <v>0</v>
      </c>
      <c r="K17" s="20">
        <f t="shared" si="6"/>
        <v>0</v>
      </c>
      <c r="L17" s="20">
        <f t="shared" si="6"/>
        <v>0</v>
      </c>
      <c r="M17" s="20">
        <f t="shared" si="6"/>
        <v>35</v>
      </c>
      <c r="N17" s="20">
        <f t="shared" si="6"/>
        <v>35</v>
      </c>
      <c r="O17" s="20">
        <f t="shared" si="6"/>
        <v>35</v>
      </c>
      <c r="P17" s="20">
        <f t="shared" si="6"/>
        <v>38.5</v>
      </c>
      <c r="Q17" s="20">
        <f t="shared" si="6"/>
        <v>38.5</v>
      </c>
      <c r="R17" s="20">
        <f t="shared" si="6"/>
        <v>38.5</v>
      </c>
      <c r="S17" s="20">
        <f t="shared" si="6"/>
        <v>42</v>
      </c>
      <c r="T17" s="20">
        <f t="shared" si="6"/>
        <v>42</v>
      </c>
      <c r="U17" s="20">
        <f t="shared" ref="U17:U33" si="7">SUM(C17:T17)</f>
        <v>304.5</v>
      </c>
      <c r="W17" s="66">
        <f>9+(1-'Read Me &amp; Assumptions'!$J$8)*2</f>
        <v>11</v>
      </c>
      <c r="X17" s="62">
        <v>35</v>
      </c>
      <c r="Y17" s="63">
        <v>0.1</v>
      </c>
    </row>
    <row r="18" spans="2:25" x14ac:dyDescent="0.2">
      <c r="B18" s="19" t="s">
        <v>210</v>
      </c>
      <c r="C18" s="20">
        <f t="shared" ref="C18:T18" si="8">IF(AND(C$4&gt;=$W18,C$4&lt;=$W18+$Y18-1),$X18,0)</f>
        <v>0</v>
      </c>
      <c r="D18" s="20">
        <f t="shared" si="8"/>
        <v>0</v>
      </c>
      <c r="E18" s="20">
        <f t="shared" si="8"/>
        <v>0</v>
      </c>
      <c r="F18" s="20">
        <f t="shared" si="8"/>
        <v>0</v>
      </c>
      <c r="G18" s="20">
        <f t="shared" si="8"/>
        <v>0</v>
      </c>
      <c r="H18" s="20">
        <f t="shared" si="8"/>
        <v>30</v>
      </c>
      <c r="I18" s="20">
        <f t="shared" si="8"/>
        <v>30</v>
      </c>
      <c r="J18" s="20">
        <f t="shared" si="8"/>
        <v>30</v>
      </c>
      <c r="K18" s="20">
        <f t="shared" si="8"/>
        <v>0</v>
      </c>
      <c r="L18" s="20">
        <f t="shared" si="8"/>
        <v>0</v>
      </c>
      <c r="M18" s="20">
        <f t="shared" si="8"/>
        <v>0</v>
      </c>
      <c r="N18" s="20">
        <f t="shared" si="8"/>
        <v>0</v>
      </c>
      <c r="O18" s="20">
        <f t="shared" si="8"/>
        <v>0</v>
      </c>
      <c r="P18" s="20">
        <f t="shared" si="8"/>
        <v>0</v>
      </c>
      <c r="Q18" s="20">
        <f t="shared" si="8"/>
        <v>0</v>
      </c>
      <c r="R18" s="20">
        <f t="shared" si="8"/>
        <v>0</v>
      </c>
      <c r="S18" s="20">
        <f t="shared" si="8"/>
        <v>0</v>
      </c>
      <c r="T18" s="20">
        <f t="shared" si="8"/>
        <v>0</v>
      </c>
      <c r="U18" s="20">
        <f t="shared" si="7"/>
        <v>90</v>
      </c>
      <c r="W18" s="66">
        <f>4+(1-'Read Me &amp; Assumptions'!$J$8)*2</f>
        <v>6</v>
      </c>
      <c r="X18" s="62">
        <v>30</v>
      </c>
      <c r="Y18" s="62">
        <v>3</v>
      </c>
    </row>
    <row r="19" spans="2:25" x14ac:dyDescent="0.2">
      <c r="B19" s="19" t="s">
        <v>211</v>
      </c>
      <c r="C19" s="20">
        <f t="shared" ref="C19:T19" si="9">IF(C$4&lt;$W19,0,$X19*(1+$Y19*INT((C$4-$W19)/3)))</f>
        <v>0</v>
      </c>
      <c r="D19" s="20">
        <f t="shared" si="9"/>
        <v>0</v>
      </c>
      <c r="E19" s="20">
        <f t="shared" si="9"/>
        <v>0</v>
      </c>
      <c r="F19" s="20">
        <f t="shared" si="9"/>
        <v>0</v>
      </c>
      <c r="G19" s="20">
        <f t="shared" si="9"/>
        <v>0</v>
      </c>
      <c r="H19" s="20">
        <f t="shared" si="9"/>
        <v>0</v>
      </c>
      <c r="I19" s="20">
        <f t="shared" si="9"/>
        <v>0</v>
      </c>
      <c r="J19" s="20">
        <f t="shared" si="9"/>
        <v>0</v>
      </c>
      <c r="K19" s="20">
        <f t="shared" si="9"/>
        <v>0</v>
      </c>
      <c r="L19" s="20">
        <f t="shared" si="9"/>
        <v>0</v>
      </c>
      <c r="M19" s="20">
        <f t="shared" si="9"/>
        <v>0</v>
      </c>
      <c r="N19" s="20">
        <f t="shared" si="9"/>
        <v>0</v>
      </c>
      <c r="O19" s="20">
        <f t="shared" si="9"/>
        <v>0</v>
      </c>
      <c r="P19" s="20">
        <f t="shared" si="9"/>
        <v>35</v>
      </c>
      <c r="Q19" s="20">
        <f t="shared" si="9"/>
        <v>35</v>
      </c>
      <c r="R19" s="20">
        <f t="shared" si="9"/>
        <v>35</v>
      </c>
      <c r="S19" s="20">
        <f t="shared" si="9"/>
        <v>38.5</v>
      </c>
      <c r="T19" s="20">
        <f t="shared" si="9"/>
        <v>38.5</v>
      </c>
      <c r="U19" s="20">
        <f t="shared" si="7"/>
        <v>182</v>
      </c>
      <c r="W19" s="66">
        <f>12+(1-'Read Me &amp; Assumptions'!$J$8)*2</f>
        <v>14</v>
      </c>
      <c r="X19" s="62">
        <v>35</v>
      </c>
      <c r="Y19" s="63">
        <v>0.1</v>
      </c>
    </row>
    <row r="20" spans="2:25" x14ac:dyDescent="0.2">
      <c r="B20" s="19" t="s">
        <v>212</v>
      </c>
      <c r="C20" s="20">
        <f t="shared" ref="C20:T20" si="10">IF(AND(C$4&gt;=$W20,C$4&lt;=$W20+$Y20-1),$X20,0)</f>
        <v>0</v>
      </c>
      <c r="D20" s="20">
        <f t="shared" si="10"/>
        <v>0</v>
      </c>
      <c r="E20" s="20">
        <f t="shared" si="10"/>
        <v>0</v>
      </c>
      <c r="F20" s="20">
        <f t="shared" si="10"/>
        <v>0</v>
      </c>
      <c r="G20" s="20">
        <f t="shared" si="10"/>
        <v>0</v>
      </c>
      <c r="H20" s="20">
        <f t="shared" si="10"/>
        <v>0</v>
      </c>
      <c r="I20" s="20">
        <f t="shared" si="10"/>
        <v>0</v>
      </c>
      <c r="J20" s="20">
        <f t="shared" si="10"/>
        <v>0</v>
      </c>
      <c r="K20" s="20">
        <f t="shared" si="10"/>
        <v>30</v>
      </c>
      <c r="L20" s="20">
        <f t="shared" si="10"/>
        <v>30</v>
      </c>
      <c r="M20" s="20">
        <f t="shared" si="10"/>
        <v>30</v>
      </c>
      <c r="N20" s="20">
        <f t="shared" si="10"/>
        <v>0</v>
      </c>
      <c r="O20" s="20">
        <f t="shared" si="10"/>
        <v>0</v>
      </c>
      <c r="P20" s="20">
        <f t="shared" si="10"/>
        <v>0</v>
      </c>
      <c r="Q20" s="20">
        <f t="shared" si="10"/>
        <v>0</v>
      </c>
      <c r="R20" s="20">
        <f t="shared" si="10"/>
        <v>0</v>
      </c>
      <c r="S20" s="20">
        <f t="shared" si="10"/>
        <v>0</v>
      </c>
      <c r="T20" s="20">
        <f t="shared" si="10"/>
        <v>0</v>
      </c>
      <c r="U20" s="20">
        <f t="shared" si="7"/>
        <v>90</v>
      </c>
      <c r="W20" s="66">
        <f>7+(1-'Read Me &amp; Assumptions'!$J$8)*2</f>
        <v>9</v>
      </c>
      <c r="X20" s="62">
        <v>30</v>
      </c>
      <c r="Y20" s="62">
        <v>3</v>
      </c>
    </row>
    <row r="21" spans="2:25" x14ac:dyDescent="0.2">
      <c r="B21" s="19" t="s">
        <v>213</v>
      </c>
      <c r="C21" s="20">
        <f t="shared" ref="C21:T21" si="11">IF(C$4&lt;$W21,0,$X21*(1+$Y21*INT((C$4-$W21)/3)))</f>
        <v>0</v>
      </c>
      <c r="D21" s="20">
        <f t="shared" si="11"/>
        <v>0</v>
      </c>
      <c r="E21" s="20">
        <f t="shared" si="11"/>
        <v>0</v>
      </c>
      <c r="F21" s="20">
        <f t="shared" si="11"/>
        <v>0</v>
      </c>
      <c r="G21" s="20">
        <f t="shared" si="11"/>
        <v>0</v>
      </c>
      <c r="H21" s="20">
        <f t="shared" si="11"/>
        <v>0</v>
      </c>
      <c r="I21" s="20">
        <f t="shared" si="11"/>
        <v>0</v>
      </c>
      <c r="J21" s="20">
        <f t="shared" si="11"/>
        <v>0</v>
      </c>
      <c r="K21" s="20">
        <f t="shared" si="11"/>
        <v>0</v>
      </c>
      <c r="L21" s="20">
        <f t="shared" si="11"/>
        <v>0</v>
      </c>
      <c r="M21" s="20">
        <f t="shared" si="11"/>
        <v>0</v>
      </c>
      <c r="N21" s="20">
        <f t="shared" si="11"/>
        <v>0</v>
      </c>
      <c r="O21" s="20">
        <f t="shared" si="11"/>
        <v>0</v>
      </c>
      <c r="P21" s="20">
        <f t="shared" si="11"/>
        <v>35</v>
      </c>
      <c r="Q21" s="20">
        <f t="shared" si="11"/>
        <v>35</v>
      </c>
      <c r="R21" s="20">
        <f t="shared" si="11"/>
        <v>35</v>
      </c>
      <c r="S21" s="20">
        <f t="shared" si="11"/>
        <v>38.5</v>
      </c>
      <c r="T21" s="20">
        <f t="shared" si="11"/>
        <v>38.5</v>
      </c>
      <c r="U21" s="20">
        <f t="shared" si="7"/>
        <v>182</v>
      </c>
      <c r="W21" s="66">
        <f>12+(1-'Read Me &amp; Assumptions'!$J$8)*2</f>
        <v>14</v>
      </c>
      <c r="X21" s="62">
        <v>35</v>
      </c>
      <c r="Y21" s="63">
        <v>0.1</v>
      </c>
    </row>
    <row r="22" spans="2:25" x14ac:dyDescent="0.2">
      <c r="B22" s="19" t="s">
        <v>214</v>
      </c>
      <c r="C22" s="20">
        <f t="shared" ref="C22:T22" si="12">IF(AND(C$4&gt;=$W22,C$4&lt;=$W22+$Y22-1),$X22,0)</f>
        <v>0</v>
      </c>
      <c r="D22" s="20">
        <f t="shared" si="12"/>
        <v>0</v>
      </c>
      <c r="E22" s="20">
        <f t="shared" si="12"/>
        <v>0</v>
      </c>
      <c r="F22" s="20">
        <f t="shared" si="12"/>
        <v>0</v>
      </c>
      <c r="G22" s="20">
        <f t="shared" si="12"/>
        <v>0</v>
      </c>
      <c r="H22" s="20">
        <f t="shared" si="12"/>
        <v>0</v>
      </c>
      <c r="I22" s="20">
        <f t="shared" si="12"/>
        <v>0</v>
      </c>
      <c r="J22" s="20">
        <f t="shared" si="12"/>
        <v>0</v>
      </c>
      <c r="K22" s="20">
        <f t="shared" si="12"/>
        <v>30</v>
      </c>
      <c r="L22" s="20">
        <f t="shared" si="12"/>
        <v>30</v>
      </c>
      <c r="M22" s="20">
        <f t="shared" si="12"/>
        <v>30</v>
      </c>
      <c r="N22" s="20">
        <f t="shared" si="12"/>
        <v>0</v>
      </c>
      <c r="O22" s="20">
        <f t="shared" si="12"/>
        <v>0</v>
      </c>
      <c r="P22" s="20">
        <f t="shared" si="12"/>
        <v>0</v>
      </c>
      <c r="Q22" s="20">
        <f t="shared" si="12"/>
        <v>0</v>
      </c>
      <c r="R22" s="20">
        <f t="shared" si="12"/>
        <v>0</v>
      </c>
      <c r="S22" s="20">
        <f t="shared" si="12"/>
        <v>0</v>
      </c>
      <c r="T22" s="20">
        <f t="shared" si="12"/>
        <v>0</v>
      </c>
      <c r="U22" s="20">
        <f t="shared" si="7"/>
        <v>90</v>
      </c>
      <c r="W22" s="66">
        <f>7+(1-'Read Me &amp; Assumptions'!$J$8)*2</f>
        <v>9</v>
      </c>
      <c r="X22" s="62">
        <v>30</v>
      </c>
      <c r="Y22" s="62">
        <v>3</v>
      </c>
    </row>
    <row r="23" spans="2:25" x14ac:dyDescent="0.2">
      <c r="B23" s="19" t="s">
        <v>215</v>
      </c>
      <c r="C23" s="20">
        <f t="shared" ref="C23:T23" si="13">IF(C$4&lt;$W23,0,$X23*(1+$Y23*INT((C$4-$W23)/3)))</f>
        <v>0</v>
      </c>
      <c r="D23" s="20">
        <f t="shared" si="13"/>
        <v>0</v>
      </c>
      <c r="E23" s="20">
        <f t="shared" si="13"/>
        <v>0</v>
      </c>
      <c r="F23" s="20">
        <f t="shared" si="13"/>
        <v>0</v>
      </c>
      <c r="G23" s="20">
        <f t="shared" si="13"/>
        <v>0</v>
      </c>
      <c r="H23" s="20">
        <f t="shared" si="13"/>
        <v>0</v>
      </c>
      <c r="I23" s="20">
        <f t="shared" si="13"/>
        <v>0</v>
      </c>
      <c r="J23" s="20">
        <f t="shared" si="13"/>
        <v>0</v>
      </c>
      <c r="K23" s="20">
        <f t="shared" si="13"/>
        <v>0</v>
      </c>
      <c r="L23" s="20">
        <f t="shared" si="13"/>
        <v>0</v>
      </c>
      <c r="M23" s="20">
        <f t="shared" si="13"/>
        <v>0</v>
      </c>
      <c r="N23" s="20">
        <f t="shared" si="13"/>
        <v>0</v>
      </c>
      <c r="O23" s="20">
        <f t="shared" si="13"/>
        <v>0</v>
      </c>
      <c r="P23" s="20">
        <f t="shared" si="13"/>
        <v>0</v>
      </c>
      <c r="Q23" s="20">
        <f t="shared" si="13"/>
        <v>0</v>
      </c>
      <c r="R23" s="20">
        <f t="shared" si="13"/>
        <v>0</v>
      </c>
      <c r="S23" s="20">
        <f t="shared" si="13"/>
        <v>35</v>
      </c>
      <c r="T23" s="20">
        <f t="shared" si="13"/>
        <v>35</v>
      </c>
      <c r="U23" s="20">
        <f t="shared" si="7"/>
        <v>70</v>
      </c>
      <c r="W23" s="66">
        <f>15+(1-'Read Me &amp; Assumptions'!$J$8)*2</f>
        <v>17</v>
      </c>
      <c r="X23" s="62">
        <v>35</v>
      </c>
      <c r="Y23" s="63">
        <v>0.1</v>
      </c>
    </row>
    <row r="24" spans="2:25" x14ac:dyDescent="0.2">
      <c r="B24" s="19" t="s">
        <v>216</v>
      </c>
      <c r="C24" s="20">
        <f t="shared" ref="C24:T24" si="14">IF(AND(C$4&gt;=$W24,C$4&lt;=$W24+$Y24-1),$X24,0)</f>
        <v>0</v>
      </c>
      <c r="D24" s="20">
        <f t="shared" si="14"/>
        <v>0</v>
      </c>
      <c r="E24" s="20">
        <f t="shared" si="14"/>
        <v>0</v>
      </c>
      <c r="F24" s="20">
        <f t="shared" si="14"/>
        <v>0</v>
      </c>
      <c r="G24" s="20">
        <f t="shared" si="14"/>
        <v>0</v>
      </c>
      <c r="H24" s="20">
        <f t="shared" si="14"/>
        <v>0</v>
      </c>
      <c r="I24" s="20">
        <f t="shared" si="14"/>
        <v>0</v>
      </c>
      <c r="J24" s="20">
        <f t="shared" si="14"/>
        <v>0</v>
      </c>
      <c r="K24" s="20">
        <f t="shared" si="14"/>
        <v>0</v>
      </c>
      <c r="L24" s="20">
        <f t="shared" si="14"/>
        <v>0</v>
      </c>
      <c r="M24" s="20">
        <f t="shared" si="14"/>
        <v>0</v>
      </c>
      <c r="N24" s="20">
        <f t="shared" si="14"/>
        <v>30</v>
      </c>
      <c r="O24" s="20">
        <f t="shared" si="14"/>
        <v>30</v>
      </c>
      <c r="P24" s="20">
        <f t="shared" si="14"/>
        <v>30</v>
      </c>
      <c r="Q24" s="20">
        <f t="shared" si="14"/>
        <v>0</v>
      </c>
      <c r="R24" s="20">
        <f t="shared" si="14"/>
        <v>0</v>
      </c>
      <c r="S24" s="20">
        <f t="shared" si="14"/>
        <v>0</v>
      </c>
      <c r="T24" s="20">
        <f t="shared" si="14"/>
        <v>0</v>
      </c>
      <c r="U24" s="20">
        <f t="shared" si="7"/>
        <v>90</v>
      </c>
      <c r="W24" s="66">
        <f>10+(1-'Read Me &amp; Assumptions'!$J$8)*2</f>
        <v>12</v>
      </c>
      <c r="X24" s="62">
        <v>30</v>
      </c>
      <c r="Y24" s="62">
        <v>3</v>
      </c>
    </row>
    <row r="25" spans="2:25" x14ac:dyDescent="0.2">
      <c r="B25" s="19" t="s">
        <v>217</v>
      </c>
      <c r="C25" s="20">
        <f t="shared" ref="C25:T25" si="15">IF(C$4&lt;$W25,0,$X25*(1+$Y25*INT((C$4-$W25)/3)))</f>
        <v>0</v>
      </c>
      <c r="D25" s="20">
        <f t="shared" si="15"/>
        <v>0</v>
      </c>
      <c r="E25" s="20">
        <f t="shared" si="15"/>
        <v>0</v>
      </c>
      <c r="F25" s="20">
        <f t="shared" si="15"/>
        <v>0</v>
      </c>
      <c r="G25" s="20">
        <f t="shared" si="15"/>
        <v>0</v>
      </c>
      <c r="H25" s="20">
        <f t="shared" si="15"/>
        <v>0</v>
      </c>
      <c r="I25" s="20">
        <f t="shared" si="15"/>
        <v>0</v>
      </c>
      <c r="J25" s="20">
        <f t="shared" si="15"/>
        <v>0</v>
      </c>
      <c r="K25" s="20">
        <f t="shared" si="15"/>
        <v>0</v>
      </c>
      <c r="L25" s="20">
        <f t="shared" si="15"/>
        <v>0</v>
      </c>
      <c r="M25" s="20">
        <f t="shared" si="15"/>
        <v>0</v>
      </c>
      <c r="N25" s="20">
        <f t="shared" si="15"/>
        <v>0</v>
      </c>
      <c r="O25" s="20">
        <f t="shared" si="15"/>
        <v>0</v>
      </c>
      <c r="P25" s="20">
        <f t="shared" si="15"/>
        <v>0</v>
      </c>
      <c r="Q25" s="20">
        <f t="shared" si="15"/>
        <v>0</v>
      </c>
      <c r="R25" s="20">
        <f t="shared" si="15"/>
        <v>0</v>
      </c>
      <c r="S25" s="20">
        <f t="shared" si="15"/>
        <v>35</v>
      </c>
      <c r="T25" s="20">
        <f t="shared" si="15"/>
        <v>35</v>
      </c>
      <c r="U25" s="20">
        <f t="shared" si="7"/>
        <v>70</v>
      </c>
      <c r="W25" s="66">
        <f>15+(1-'Read Me &amp; Assumptions'!$J$8)*2</f>
        <v>17</v>
      </c>
      <c r="X25" s="62">
        <v>35</v>
      </c>
      <c r="Y25" s="63">
        <v>0.1</v>
      </c>
    </row>
    <row r="26" spans="2:25" x14ac:dyDescent="0.2">
      <c r="B26" s="19" t="s">
        <v>218</v>
      </c>
      <c r="C26" s="20">
        <f t="shared" ref="C26:T26" si="16">IF(AND(C$4&gt;=$W26,C$4&lt;=$W26+$Y26-1),$X26,0)</f>
        <v>0</v>
      </c>
      <c r="D26" s="20">
        <f t="shared" si="16"/>
        <v>0</v>
      </c>
      <c r="E26" s="20">
        <f t="shared" si="16"/>
        <v>0</v>
      </c>
      <c r="F26" s="20">
        <f t="shared" si="16"/>
        <v>0</v>
      </c>
      <c r="G26" s="20">
        <f t="shared" si="16"/>
        <v>0</v>
      </c>
      <c r="H26" s="20">
        <f t="shared" si="16"/>
        <v>0</v>
      </c>
      <c r="I26" s="20">
        <f t="shared" si="16"/>
        <v>0</v>
      </c>
      <c r="J26" s="20">
        <f t="shared" si="16"/>
        <v>0</v>
      </c>
      <c r="K26" s="20">
        <f t="shared" si="16"/>
        <v>0</v>
      </c>
      <c r="L26" s="20">
        <f t="shared" si="16"/>
        <v>0</v>
      </c>
      <c r="M26" s="20">
        <f t="shared" si="16"/>
        <v>0</v>
      </c>
      <c r="N26" s="20">
        <f t="shared" si="16"/>
        <v>30</v>
      </c>
      <c r="O26" s="20">
        <f t="shared" si="16"/>
        <v>30</v>
      </c>
      <c r="P26" s="20">
        <f t="shared" si="16"/>
        <v>30</v>
      </c>
      <c r="Q26" s="20">
        <f t="shared" si="16"/>
        <v>0</v>
      </c>
      <c r="R26" s="20">
        <f t="shared" si="16"/>
        <v>0</v>
      </c>
      <c r="S26" s="20">
        <f t="shared" si="16"/>
        <v>0</v>
      </c>
      <c r="T26" s="20">
        <f t="shared" si="16"/>
        <v>0</v>
      </c>
      <c r="U26" s="20">
        <f t="shared" si="7"/>
        <v>90</v>
      </c>
      <c r="W26" s="66">
        <f>10+(1-'Read Me &amp; Assumptions'!$J$8)*2</f>
        <v>12</v>
      </c>
      <c r="X26" s="62">
        <v>30</v>
      </c>
      <c r="Y26" s="62">
        <v>3</v>
      </c>
    </row>
    <row r="27" spans="2:25" x14ac:dyDescent="0.2">
      <c r="B27" s="19" t="s">
        <v>219</v>
      </c>
      <c r="C27" s="20">
        <f t="shared" ref="C27:T27" si="17">IF(C$4&lt;$W27,0,$X27*(1+$Y27*INT((C$4-$W27)/3)))</f>
        <v>0</v>
      </c>
      <c r="D27" s="20">
        <f t="shared" si="17"/>
        <v>0</v>
      </c>
      <c r="E27" s="20">
        <f t="shared" si="17"/>
        <v>0</v>
      </c>
      <c r="F27" s="20">
        <f t="shared" si="17"/>
        <v>0</v>
      </c>
      <c r="G27" s="20">
        <f t="shared" si="17"/>
        <v>0</v>
      </c>
      <c r="H27" s="20">
        <f t="shared" si="17"/>
        <v>0</v>
      </c>
      <c r="I27" s="20">
        <f t="shared" si="17"/>
        <v>0</v>
      </c>
      <c r="J27" s="20">
        <f t="shared" si="17"/>
        <v>0</v>
      </c>
      <c r="K27" s="20">
        <f t="shared" si="17"/>
        <v>0</v>
      </c>
      <c r="L27" s="20">
        <f t="shared" si="17"/>
        <v>0</v>
      </c>
      <c r="M27" s="20">
        <f t="shared" si="17"/>
        <v>0</v>
      </c>
      <c r="N27" s="20">
        <f t="shared" si="17"/>
        <v>0</v>
      </c>
      <c r="O27" s="20">
        <f t="shared" si="17"/>
        <v>0</v>
      </c>
      <c r="P27" s="20">
        <f t="shared" si="17"/>
        <v>0</v>
      </c>
      <c r="Q27" s="20">
        <f t="shared" si="17"/>
        <v>0</v>
      </c>
      <c r="R27" s="20">
        <f t="shared" si="17"/>
        <v>0</v>
      </c>
      <c r="S27" s="20">
        <f t="shared" si="17"/>
        <v>0</v>
      </c>
      <c r="T27" s="20">
        <f t="shared" si="17"/>
        <v>0</v>
      </c>
      <c r="U27" s="20">
        <f t="shared" si="7"/>
        <v>0</v>
      </c>
      <c r="W27" s="66">
        <f>18+(1-'Read Me &amp; Assumptions'!$J$8)*2</f>
        <v>20</v>
      </c>
      <c r="X27" s="62">
        <v>35</v>
      </c>
      <c r="Y27" s="63">
        <v>0.1</v>
      </c>
    </row>
    <row r="28" spans="2:25" x14ac:dyDescent="0.2">
      <c r="B28" s="19" t="s">
        <v>220</v>
      </c>
      <c r="C28" s="20">
        <f t="shared" ref="C28:T28" si="18">IF(AND(C$4&gt;=$W28,C$4&lt;=$W28+$Y28-1),$X28,0)</f>
        <v>0</v>
      </c>
      <c r="D28" s="20">
        <f t="shared" si="18"/>
        <v>0</v>
      </c>
      <c r="E28" s="20">
        <f t="shared" si="18"/>
        <v>0</v>
      </c>
      <c r="F28" s="20">
        <f t="shared" si="18"/>
        <v>0</v>
      </c>
      <c r="G28" s="20">
        <f t="shared" si="18"/>
        <v>0</v>
      </c>
      <c r="H28" s="20">
        <f t="shared" si="18"/>
        <v>0</v>
      </c>
      <c r="I28" s="20">
        <f t="shared" si="18"/>
        <v>0</v>
      </c>
      <c r="J28" s="20">
        <f t="shared" si="18"/>
        <v>0</v>
      </c>
      <c r="K28" s="20">
        <f t="shared" si="18"/>
        <v>0</v>
      </c>
      <c r="L28" s="20">
        <f t="shared" si="18"/>
        <v>0</v>
      </c>
      <c r="M28" s="20">
        <f t="shared" si="18"/>
        <v>0</v>
      </c>
      <c r="N28" s="20">
        <f t="shared" si="18"/>
        <v>0</v>
      </c>
      <c r="O28" s="20">
        <f t="shared" si="18"/>
        <v>0</v>
      </c>
      <c r="P28" s="20">
        <f t="shared" si="18"/>
        <v>0</v>
      </c>
      <c r="Q28" s="20">
        <f t="shared" si="18"/>
        <v>30</v>
      </c>
      <c r="R28" s="20">
        <f t="shared" si="18"/>
        <v>30</v>
      </c>
      <c r="S28" s="20">
        <f t="shared" si="18"/>
        <v>30</v>
      </c>
      <c r="T28" s="20">
        <f t="shared" si="18"/>
        <v>0</v>
      </c>
      <c r="U28" s="20">
        <f t="shared" si="7"/>
        <v>90</v>
      </c>
      <c r="W28" s="66">
        <f>13+(1-'Read Me &amp; Assumptions'!$J$8)*2</f>
        <v>15</v>
      </c>
      <c r="X28" s="62">
        <v>30</v>
      </c>
      <c r="Y28" s="62">
        <v>3</v>
      </c>
    </row>
    <row r="29" spans="2:25" x14ac:dyDescent="0.2">
      <c r="B29" s="19" t="s">
        <v>221</v>
      </c>
      <c r="C29" s="20">
        <f t="shared" ref="C29:T29" si="19">IF(C$4&lt;$W29,0,$X29*(1+$Y29*INT((C$4-$W29)/3)))</f>
        <v>0</v>
      </c>
      <c r="D29" s="20">
        <f t="shared" si="19"/>
        <v>0</v>
      </c>
      <c r="E29" s="20">
        <f t="shared" si="19"/>
        <v>0</v>
      </c>
      <c r="F29" s="20">
        <f t="shared" si="19"/>
        <v>0</v>
      </c>
      <c r="G29" s="20">
        <f t="shared" si="19"/>
        <v>0</v>
      </c>
      <c r="H29" s="20">
        <f t="shared" si="19"/>
        <v>0</v>
      </c>
      <c r="I29" s="20">
        <f t="shared" si="19"/>
        <v>0</v>
      </c>
      <c r="J29" s="20">
        <f t="shared" si="19"/>
        <v>0</v>
      </c>
      <c r="K29" s="20">
        <f t="shared" si="19"/>
        <v>0</v>
      </c>
      <c r="L29" s="20">
        <f t="shared" si="19"/>
        <v>0</v>
      </c>
      <c r="M29" s="20">
        <f t="shared" si="19"/>
        <v>0</v>
      </c>
      <c r="N29" s="20">
        <f t="shared" si="19"/>
        <v>0</v>
      </c>
      <c r="O29" s="20">
        <f t="shared" si="19"/>
        <v>0</v>
      </c>
      <c r="P29" s="20">
        <f t="shared" si="19"/>
        <v>0</v>
      </c>
      <c r="Q29" s="20">
        <f t="shared" si="19"/>
        <v>0</v>
      </c>
      <c r="R29" s="20">
        <f t="shared" si="19"/>
        <v>0</v>
      </c>
      <c r="S29" s="20">
        <f t="shared" si="19"/>
        <v>0</v>
      </c>
      <c r="T29" s="20">
        <f t="shared" si="19"/>
        <v>0</v>
      </c>
      <c r="U29" s="20">
        <f t="shared" si="7"/>
        <v>0</v>
      </c>
      <c r="W29" s="66">
        <f>18+(1-'Read Me &amp; Assumptions'!$J$8)*2</f>
        <v>20</v>
      </c>
      <c r="X29" s="62">
        <v>35</v>
      </c>
      <c r="Y29" s="63">
        <v>0.1</v>
      </c>
    </row>
    <row r="30" spans="2:25" x14ac:dyDescent="0.2">
      <c r="B30" s="19" t="s">
        <v>222</v>
      </c>
      <c r="C30" s="20">
        <f t="shared" ref="C30:L32" si="20">IF(AND(C$4&gt;=$W30,C$4&lt;=$W30+$Y30-1),$X30,0)</f>
        <v>0</v>
      </c>
      <c r="D30" s="20">
        <f t="shared" si="20"/>
        <v>0</v>
      </c>
      <c r="E30" s="20">
        <f t="shared" si="20"/>
        <v>0</v>
      </c>
      <c r="F30" s="20">
        <f t="shared" si="20"/>
        <v>0</v>
      </c>
      <c r="G30" s="20">
        <f t="shared" si="20"/>
        <v>0</v>
      </c>
      <c r="H30" s="20">
        <f t="shared" si="20"/>
        <v>0</v>
      </c>
      <c r="I30" s="20">
        <f t="shared" si="20"/>
        <v>0</v>
      </c>
      <c r="J30" s="20">
        <f t="shared" si="20"/>
        <v>0</v>
      </c>
      <c r="K30" s="20">
        <f t="shared" si="20"/>
        <v>0</v>
      </c>
      <c r="L30" s="20">
        <f t="shared" si="20"/>
        <v>0</v>
      </c>
      <c r="M30" s="20">
        <f t="shared" ref="M30:T32" si="21">IF(AND(M$4&gt;=$W30,M$4&lt;=$W30+$Y30-1),$X30,0)</f>
        <v>0</v>
      </c>
      <c r="N30" s="20">
        <f t="shared" si="21"/>
        <v>0</v>
      </c>
      <c r="O30" s="20">
        <f t="shared" si="21"/>
        <v>0</v>
      </c>
      <c r="P30" s="20">
        <f t="shared" si="21"/>
        <v>0</v>
      </c>
      <c r="Q30" s="20">
        <f t="shared" si="21"/>
        <v>30</v>
      </c>
      <c r="R30" s="20">
        <f t="shared" si="21"/>
        <v>30</v>
      </c>
      <c r="S30" s="20">
        <f t="shared" si="21"/>
        <v>30</v>
      </c>
      <c r="T30" s="20">
        <f t="shared" si="21"/>
        <v>0</v>
      </c>
      <c r="U30" s="20">
        <f t="shared" si="7"/>
        <v>90</v>
      </c>
      <c r="W30" s="66">
        <f>13+(1-'Read Me &amp; Assumptions'!$J$8)*2</f>
        <v>15</v>
      </c>
      <c r="X30" s="62">
        <v>30</v>
      </c>
      <c r="Y30" s="62">
        <v>3</v>
      </c>
    </row>
    <row r="31" spans="2:25" x14ac:dyDescent="0.2">
      <c r="B31" s="19" t="s">
        <v>223</v>
      </c>
      <c r="C31" s="20">
        <f t="shared" si="20"/>
        <v>0</v>
      </c>
      <c r="D31" s="20">
        <f t="shared" si="20"/>
        <v>0</v>
      </c>
      <c r="E31" s="20">
        <f t="shared" si="20"/>
        <v>0</v>
      </c>
      <c r="F31" s="20">
        <f t="shared" si="20"/>
        <v>0</v>
      </c>
      <c r="G31" s="20">
        <f t="shared" si="20"/>
        <v>0</v>
      </c>
      <c r="H31" s="20">
        <f t="shared" si="20"/>
        <v>0</v>
      </c>
      <c r="I31" s="20">
        <f t="shared" si="20"/>
        <v>0</v>
      </c>
      <c r="J31" s="20">
        <f t="shared" si="20"/>
        <v>0</v>
      </c>
      <c r="K31" s="20">
        <f t="shared" si="20"/>
        <v>0</v>
      </c>
      <c r="L31" s="20">
        <f t="shared" si="20"/>
        <v>0</v>
      </c>
      <c r="M31" s="20">
        <f t="shared" si="21"/>
        <v>0</v>
      </c>
      <c r="N31" s="20">
        <f t="shared" si="21"/>
        <v>0</v>
      </c>
      <c r="O31" s="20">
        <f t="shared" si="21"/>
        <v>0</v>
      </c>
      <c r="P31" s="20">
        <f t="shared" si="21"/>
        <v>0</v>
      </c>
      <c r="Q31" s="20">
        <f t="shared" si="21"/>
        <v>0</v>
      </c>
      <c r="R31" s="20">
        <f t="shared" si="21"/>
        <v>0</v>
      </c>
      <c r="S31" s="20">
        <f t="shared" si="21"/>
        <v>0</v>
      </c>
      <c r="T31" s="20">
        <f t="shared" si="21"/>
        <v>30</v>
      </c>
      <c r="U31" s="20">
        <f t="shared" si="7"/>
        <v>30</v>
      </c>
      <c r="W31" s="66">
        <f>16+(1-'Read Me &amp; Assumptions'!$J$8)*2</f>
        <v>18</v>
      </c>
      <c r="X31" s="62">
        <v>30</v>
      </c>
      <c r="Y31" s="62">
        <v>3</v>
      </c>
    </row>
    <row r="32" spans="2:25" x14ac:dyDescent="0.2">
      <c r="B32" s="19" t="s">
        <v>224</v>
      </c>
      <c r="C32" s="20">
        <f t="shared" si="20"/>
        <v>0</v>
      </c>
      <c r="D32" s="20">
        <f t="shared" si="20"/>
        <v>0</v>
      </c>
      <c r="E32" s="20">
        <f t="shared" si="20"/>
        <v>0</v>
      </c>
      <c r="F32" s="20">
        <f t="shared" si="20"/>
        <v>0</v>
      </c>
      <c r="G32" s="20">
        <f t="shared" si="20"/>
        <v>0</v>
      </c>
      <c r="H32" s="20">
        <f t="shared" si="20"/>
        <v>0</v>
      </c>
      <c r="I32" s="20">
        <f t="shared" si="20"/>
        <v>0</v>
      </c>
      <c r="J32" s="20">
        <f t="shared" si="20"/>
        <v>0</v>
      </c>
      <c r="K32" s="20">
        <f t="shared" si="20"/>
        <v>0</v>
      </c>
      <c r="L32" s="20">
        <f t="shared" si="20"/>
        <v>0</v>
      </c>
      <c r="M32" s="20">
        <f t="shared" si="21"/>
        <v>0</v>
      </c>
      <c r="N32" s="20">
        <f t="shared" si="21"/>
        <v>0</v>
      </c>
      <c r="O32" s="20">
        <f t="shared" si="21"/>
        <v>0</v>
      </c>
      <c r="P32" s="20">
        <f t="shared" si="21"/>
        <v>0</v>
      </c>
      <c r="Q32" s="20">
        <f t="shared" si="21"/>
        <v>0</v>
      </c>
      <c r="R32" s="20">
        <f t="shared" si="21"/>
        <v>0</v>
      </c>
      <c r="S32" s="20">
        <f t="shared" si="21"/>
        <v>0</v>
      </c>
      <c r="T32" s="20">
        <f t="shared" si="21"/>
        <v>30</v>
      </c>
      <c r="U32" s="20">
        <f t="shared" si="7"/>
        <v>30</v>
      </c>
      <c r="W32" s="66">
        <f>16+(1-'Read Me &amp; Assumptions'!$J$8)*2</f>
        <v>18</v>
      </c>
      <c r="X32" s="62">
        <v>30</v>
      </c>
      <c r="Y32" s="62">
        <v>3</v>
      </c>
    </row>
    <row r="33" spans="2:21" x14ac:dyDescent="0.2">
      <c r="B33" s="64" t="s">
        <v>225</v>
      </c>
      <c r="C33" s="65">
        <f t="shared" ref="C33:T33" si="22">C17+C18+C19+C20+C21+C22+C23+C24+C25+C26+C27+C28+C29+C30+C31+C32</f>
        <v>0</v>
      </c>
      <c r="D33" s="65">
        <f t="shared" si="22"/>
        <v>0</v>
      </c>
      <c r="E33" s="65">
        <f t="shared" si="22"/>
        <v>0</v>
      </c>
      <c r="F33" s="65">
        <f t="shared" si="22"/>
        <v>0</v>
      </c>
      <c r="G33" s="65">
        <f t="shared" si="22"/>
        <v>0</v>
      </c>
      <c r="H33" s="65">
        <f t="shared" si="22"/>
        <v>30</v>
      </c>
      <c r="I33" s="65">
        <f t="shared" si="22"/>
        <v>30</v>
      </c>
      <c r="J33" s="65">
        <f t="shared" si="22"/>
        <v>30</v>
      </c>
      <c r="K33" s="65">
        <f t="shared" si="22"/>
        <v>60</v>
      </c>
      <c r="L33" s="65">
        <f t="shared" si="22"/>
        <v>60</v>
      </c>
      <c r="M33" s="65">
        <f t="shared" si="22"/>
        <v>95</v>
      </c>
      <c r="N33" s="65">
        <f t="shared" si="22"/>
        <v>95</v>
      </c>
      <c r="O33" s="65">
        <f t="shared" si="22"/>
        <v>95</v>
      </c>
      <c r="P33" s="65">
        <f t="shared" si="22"/>
        <v>168.5</v>
      </c>
      <c r="Q33" s="65">
        <f t="shared" si="22"/>
        <v>168.5</v>
      </c>
      <c r="R33" s="65">
        <f t="shared" si="22"/>
        <v>168.5</v>
      </c>
      <c r="S33" s="65">
        <f t="shared" si="22"/>
        <v>249</v>
      </c>
      <c r="T33" s="65">
        <f t="shared" si="22"/>
        <v>249</v>
      </c>
      <c r="U33" s="65">
        <f t="shared" si="7"/>
        <v>1498.5</v>
      </c>
    </row>
    <row r="35" spans="2:21" x14ac:dyDescent="0.2">
      <c r="B35" s="67" t="s">
        <v>226</v>
      </c>
      <c r="C35" s="68">
        <f t="shared" ref="C35:T35" si="23">C9+C14+C33</f>
        <v>0</v>
      </c>
      <c r="D35" s="68">
        <f t="shared" si="23"/>
        <v>37</v>
      </c>
      <c r="E35" s="68">
        <f t="shared" si="23"/>
        <v>24</v>
      </c>
      <c r="F35" s="68">
        <f t="shared" si="23"/>
        <v>36</v>
      </c>
      <c r="G35" s="68">
        <f t="shared" si="23"/>
        <v>37.200000000000003</v>
      </c>
      <c r="H35" s="68">
        <f t="shared" si="23"/>
        <v>68.400000000000006</v>
      </c>
      <c r="I35" s="68">
        <f t="shared" si="23"/>
        <v>69.599999999999994</v>
      </c>
      <c r="J35" s="68">
        <f t="shared" si="23"/>
        <v>85.800000000000011</v>
      </c>
      <c r="K35" s="68">
        <f t="shared" si="23"/>
        <v>117</v>
      </c>
      <c r="L35" s="68">
        <f t="shared" si="23"/>
        <v>118.19999999999999</v>
      </c>
      <c r="M35" s="68">
        <f t="shared" si="23"/>
        <v>157.4</v>
      </c>
      <c r="N35" s="68">
        <f t="shared" si="23"/>
        <v>158.6</v>
      </c>
      <c r="O35" s="68">
        <f t="shared" si="23"/>
        <v>159.80000000000001</v>
      </c>
      <c r="P35" s="68">
        <f t="shared" si="23"/>
        <v>237.5</v>
      </c>
      <c r="Q35" s="68">
        <f t="shared" si="23"/>
        <v>238.7</v>
      </c>
      <c r="R35" s="68">
        <f t="shared" si="23"/>
        <v>239.89999999999998</v>
      </c>
      <c r="S35" s="68">
        <f t="shared" si="23"/>
        <v>324.60000000000002</v>
      </c>
      <c r="T35" s="68">
        <f t="shared" si="23"/>
        <v>325.8</v>
      </c>
      <c r="U35" s="68">
        <f>SUM(C35:T35)</f>
        <v>2435.5</v>
      </c>
    </row>
    <row r="37" spans="2:21" x14ac:dyDescent="0.2">
      <c r="B37" s="64" t="s">
        <v>227</v>
      </c>
      <c r="C37" s="65">
        <f ca="1">(1-('Read Me &amp; Assumptions'!$J$10-INT('Read Me &amp; Assumptions'!$J$10)))*(IF((0-INT('Read Me &amp; Assumptions'!$J$10))&lt;0,0,OFFSET($C$35,0,0-INT('Read Me &amp; Assumptions'!$J$10))))+('Read Me &amp; Assumptions'!$J$10-INT('Read Me &amp; Assumptions'!$J$10))*(IF((0-INT('Read Me &amp; Assumptions'!$J$10)-1)&lt;0,0,OFFSET($C$35,0,0-INT('Read Me &amp; Assumptions'!$J$10)-1)))</f>
        <v>0</v>
      </c>
      <c r="D37" s="65">
        <f ca="1">(1-('Read Me &amp; Assumptions'!$J$10-INT('Read Me &amp; Assumptions'!$J$10)))*(IF((1-INT('Read Me &amp; Assumptions'!$J$10))&lt;0,0,OFFSET($C$35,0,1-INT('Read Me &amp; Assumptions'!$J$10))))+('Read Me &amp; Assumptions'!$J$10-INT('Read Me &amp; Assumptions'!$J$10))*(IF((1-INT('Read Me &amp; Assumptions'!$J$10)-1)&lt;0,0,OFFSET($C$35,0,1-INT('Read Me &amp; Assumptions'!$J$10)-1)))</f>
        <v>0</v>
      </c>
      <c r="E37" s="65">
        <f ca="1">(1-('Read Me &amp; Assumptions'!$J$10-INT('Read Me &amp; Assumptions'!$J$10)))*(IF((2-INT('Read Me &amp; Assumptions'!$J$10))&lt;0,0,OFFSET($C$35,0,2-INT('Read Me &amp; Assumptions'!$J$10))))+('Read Me &amp; Assumptions'!$J$10-INT('Read Me &amp; Assumptions'!$J$10))*(IF((2-INT('Read Me &amp; Assumptions'!$J$10)-1)&lt;0,0,OFFSET($C$35,0,2-INT('Read Me &amp; Assumptions'!$J$10)-1)))</f>
        <v>24.79</v>
      </c>
      <c r="F37" s="65">
        <f ca="1">(1-('Read Me &amp; Assumptions'!$J$10-INT('Read Me &amp; Assumptions'!$J$10)))*(IF((3-INT('Read Me &amp; Assumptions'!$J$10))&lt;0,0,OFFSET($C$35,0,3-INT('Read Me &amp; Assumptions'!$J$10))))+('Read Me &amp; Assumptions'!$J$10-INT('Read Me &amp; Assumptions'!$J$10))*(IF((3-INT('Read Me &amp; Assumptions'!$J$10)-1)&lt;0,0,OFFSET($C$35,0,3-INT('Read Me &amp; Assumptions'!$J$10)-1)))</f>
        <v>28.29</v>
      </c>
      <c r="G37" s="65">
        <f ca="1">(1-('Read Me &amp; Assumptions'!$J$10-INT('Read Me &amp; Assumptions'!$J$10)))*(IF((4-INT('Read Me &amp; Assumptions'!$J$10))&lt;0,0,OFFSET($C$35,0,4-INT('Read Me &amp; Assumptions'!$J$10))))+('Read Me &amp; Assumptions'!$J$10-INT('Read Me &amp; Assumptions'!$J$10))*(IF((4-INT('Read Me &amp; Assumptions'!$J$10)-1)&lt;0,0,OFFSET($C$35,0,4-INT('Read Me &amp; Assumptions'!$J$10)-1)))</f>
        <v>32.04</v>
      </c>
      <c r="H37" s="65">
        <f ca="1">(1-('Read Me &amp; Assumptions'!$J$10-INT('Read Me &amp; Assumptions'!$J$10)))*(IF((5-INT('Read Me &amp; Assumptions'!$J$10))&lt;0,0,OFFSET($C$35,0,5-INT('Read Me &amp; Assumptions'!$J$10))))+('Read Me &amp; Assumptions'!$J$10-INT('Read Me &amp; Assumptions'!$J$10))*(IF((5-INT('Read Me &amp; Assumptions'!$J$10)-1)&lt;0,0,OFFSET($C$35,0,5-INT('Read Me &amp; Assumptions'!$J$10)-1)))</f>
        <v>36.804000000000002</v>
      </c>
      <c r="I37" s="65">
        <f ca="1">(1-('Read Me &amp; Assumptions'!$J$10-INT('Read Me &amp; Assumptions'!$J$10)))*(IF((6-INT('Read Me &amp; Assumptions'!$J$10))&lt;0,0,OFFSET($C$35,0,6-INT('Read Me &amp; Assumptions'!$J$10))))+('Read Me &amp; Assumptions'!$J$10-INT('Read Me &amp; Assumptions'!$J$10))*(IF((6-INT('Read Me &amp; Assumptions'!$J$10)-1)&lt;0,0,OFFSET($C$35,0,6-INT('Read Me &amp; Assumptions'!$J$10)-1)))</f>
        <v>58.103999999999999</v>
      </c>
      <c r="J37" s="65">
        <f ca="1">(1-('Read Me &amp; Assumptions'!$J$10-INT('Read Me &amp; Assumptions'!$J$10)))*(IF((7-INT('Read Me &amp; Assumptions'!$J$10))&lt;0,0,OFFSET($C$35,0,7-INT('Read Me &amp; Assumptions'!$J$10))))+('Read Me &amp; Assumptions'!$J$10-INT('Read Me &amp; Assumptions'!$J$10))*(IF((7-INT('Read Me &amp; Assumptions'!$J$10)-1)&lt;0,0,OFFSET($C$35,0,7-INT('Read Me &amp; Assumptions'!$J$10)-1)))</f>
        <v>69.203999999999994</v>
      </c>
      <c r="K37" s="65">
        <f ca="1">(1-('Read Me &amp; Assumptions'!$J$10-INT('Read Me &amp; Assumptions'!$J$10)))*(IF((8-INT('Read Me &amp; Assumptions'!$J$10))&lt;0,0,OFFSET($C$35,0,8-INT('Read Me &amp; Assumptions'!$J$10))))+('Read Me &amp; Assumptions'!$J$10-INT('Read Me &amp; Assumptions'!$J$10))*(IF((8-INT('Read Me &amp; Assumptions'!$J$10)-1)&lt;0,0,OFFSET($C$35,0,8-INT('Read Me &amp; Assumptions'!$J$10)-1)))</f>
        <v>80.454000000000008</v>
      </c>
      <c r="L37" s="65">
        <f ca="1">(1-('Read Me &amp; Assumptions'!$J$10-INT('Read Me &amp; Assumptions'!$J$10)))*(IF((9-INT('Read Me &amp; Assumptions'!$J$10))&lt;0,0,OFFSET($C$35,0,9-INT('Read Me &amp; Assumptions'!$J$10))))+('Read Me &amp; Assumptions'!$J$10-INT('Read Me &amp; Assumptions'!$J$10))*(IF((9-INT('Read Me &amp; Assumptions'!$J$10)-1)&lt;0,0,OFFSET($C$35,0,9-INT('Read Me &amp; Assumptions'!$J$10)-1)))</f>
        <v>106.70399999999999</v>
      </c>
      <c r="M37" s="65">
        <f ca="1">(1-('Read Me &amp; Assumptions'!$J$10-INT('Read Me &amp; Assumptions'!$J$10)))*(IF((10-INT('Read Me &amp; Assumptions'!$J$10))&lt;0,0,OFFSET($C$35,0,10-INT('Read Me &amp; Assumptions'!$J$10))))+('Read Me &amp; Assumptions'!$J$10-INT('Read Me &amp; Assumptions'!$J$10))*(IF((10-INT('Read Me &amp; Assumptions'!$J$10)-1)&lt;0,0,OFFSET($C$35,0,10-INT('Read Me &amp; Assumptions'!$J$10)-1)))</f>
        <v>117.804</v>
      </c>
      <c r="N37" s="65">
        <f ca="1">(1-('Read Me &amp; Assumptions'!$J$10-INT('Read Me &amp; Assumptions'!$J$10)))*(IF((11-INT('Read Me &amp; Assumptions'!$J$10))&lt;0,0,OFFSET($C$35,0,11-INT('Read Me &amp; Assumptions'!$J$10))))+('Read Me &amp; Assumptions'!$J$10-INT('Read Me &amp; Assumptions'!$J$10))*(IF((11-INT('Read Me &amp; Assumptions'!$J$10)-1)&lt;0,0,OFFSET($C$35,0,11-INT('Read Me &amp; Assumptions'!$J$10)-1)))</f>
        <v>144.464</v>
      </c>
      <c r="O37" s="65">
        <f ca="1">(1-('Read Me &amp; Assumptions'!$J$10-INT('Read Me &amp; Assumptions'!$J$10)))*(IF((12-INT('Read Me &amp; Assumptions'!$J$10))&lt;0,0,OFFSET($C$35,0,12-INT('Read Me &amp; Assumptions'!$J$10))))+('Read Me &amp; Assumptions'!$J$10-INT('Read Me &amp; Assumptions'!$J$10))*(IF((12-INT('Read Me &amp; Assumptions'!$J$10)-1)&lt;0,0,OFFSET($C$35,0,12-INT('Read Me &amp; Assumptions'!$J$10)-1)))</f>
        <v>158.20400000000001</v>
      </c>
      <c r="P37" s="65">
        <f ca="1">(1-('Read Me &amp; Assumptions'!$J$10-INT('Read Me &amp; Assumptions'!$J$10)))*(IF((13-INT('Read Me &amp; Assumptions'!$J$10))&lt;0,0,OFFSET($C$35,0,13-INT('Read Me &amp; Assumptions'!$J$10))))+('Read Me &amp; Assumptions'!$J$10-INT('Read Me &amp; Assumptions'!$J$10))*(IF((13-INT('Read Me &amp; Assumptions'!$J$10)-1)&lt;0,0,OFFSET($C$35,0,13-INT('Read Me &amp; Assumptions'!$J$10)-1)))</f>
        <v>159.404</v>
      </c>
      <c r="Q37" s="65">
        <f ca="1">(1-('Read Me &amp; Assumptions'!$J$10-INT('Read Me &amp; Assumptions'!$J$10)))*(IF((14-INT('Read Me &amp; Assumptions'!$J$10))&lt;0,0,OFFSET($C$35,0,14-INT('Read Me &amp; Assumptions'!$J$10))))+('Read Me &amp; Assumptions'!$J$10-INT('Read Me &amp; Assumptions'!$J$10))*(IF((14-INT('Read Me &amp; Assumptions'!$J$10)-1)&lt;0,0,OFFSET($C$35,0,14-INT('Read Me &amp; Assumptions'!$J$10)-1)))</f>
        <v>211.85899999999998</v>
      </c>
      <c r="R37" s="65">
        <f ca="1">(1-('Read Me &amp; Assumptions'!$J$10-INT('Read Me &amp; Assumptions'!$J$10)))*(IF((15-INT('Read Me &amp; Assumptions'!$J$10))&lt;0,0,OFFSET($C$35,0,15-INT('Read Me &amp; Assumptions'!$J$10))))+('Read Me &amp; Assumptions'!$J$10-INT('Read Me &amp; Assumptions'!$J$10))*(IF((15-INT('Read Me &amp; Assumptions'!$J$10)-1)&lt;0,0,OFFSET($C$35,0,15-INT('Read Me &amp; Assumptions'!$J$10)-1)))</f>
        <v>238.30399999999997</v>
      </c>
      <c r="S37" s="65">
        <f ca="1">(1-('Read Me &amp; Assumptions'!$J$10-INT('Read Me &amp; Assumptions'!$J$10)))*(IF((16-INT('Read Me &amp; Assumptions'!$J$10))&lt;0,0,OFFSET($C$35,0,16-INT('Read Me &amp; Assumptions'!$J$10))))+('Read Me &amp; Assumptions'!$J$10-INT('Read Me &amp; Assumptions'!$J$10))*(IF((16-INT('Read Me &amp; Assumptions'!$J$10)-1)&lt;0,0,OFFSET($C$35,0,16-INT('Read Me &amp; Assumptions'!$J$10)-1)))</f>
        <v>239.50399999999999</v>
      </c>
      <c r="T37" s="65">
        <f ca="1">(1-('Read Me &amp; Assumptions'!$J$10-INT('Read Me &amp; Assumptions'!$J$10)))*(IF((17-INT('Read Me &amp; Assumptions'!$J$10))&lt;0,0,OFFSET($C$35,0,17-INT('Read Me &amp; Assumptions'!$J$10))))+('Read Me &amp; Assumptions'!$J$10-INT('Read Me &amp; Assumptions'!$J$10))*(IF((17-INT('Read Me &amp; Assumptions'!$J$10)-1)&lt;0,0,OFFSET($C$35,0,17-INT('Read Me &amp; Assumptions'!$J$10)-1)))</f>
        <v>296.649</v>
      </c>
      <c r="U37" s="65">
        <f ca="1">SUM(C37:T37)</f>
        <v>2002.5819999999999</v>
      </c>
    </row>
    <row r="39" spans="2:21" x14ac:dyDescent="0.2">
      <c r="B39" s="19" t="s">
        <v>228</v>
      </c>
      <c r="C39" s="20">
        <f t="shared" ref="C39:T39" si="24">C6+C7+C8+C12+C17+C19+C21+C23+C25+C27+C29</f>
        <v>0</v>
      </c>
      <c r="D39" s="20">
        <f t="shared" si="24"/>
        <v>12</v>
      </c>
      <c r="E39" s="20">
        <f t="shared" si="24"/>
        <v>24</v>
      </c>
      <c r="F39" s="20">
        <f t="shared" si="24"/>
        <v>36</v>
      </c>
      <c r="G39" s="20">
        <f t="shared" si="24"/>
        <v>37.200000000000003</v>
      </c>
      <c r="H39" s="20">
        <f t="shared" si="24"/>
        <v>38.400000000000006</v>
      </c>
      <c r="I39" s="20">
        <f t="shared" si="24"/>
        <v>39.6</v>
      </c>
      <c r="J39" s="20">
        <f t="shared" si="24"/>
        <v>55.800000000000004</v>
      </c>
      <c r="K39" s="20">
        <f t="shared" si="24"/>
        <v>57</v>
      </c>
      <c r="L39" s="20">
        <f t="shared" si="24"/>
        <v>58.199999999999996</v>
      </c>
      <c r="M39" s="20">
        <f t="shared" si="24"/>
        <v>97.4</v>
      </c>
      <c r="N39" s="20">
        <f t="shared" si="24"/>
        <v>98.6</v>
      </c>
      <c r="O39" s="20">
        <f t="shared" si="24"/>
        <v>99.800000000000011</v>
      </c>
      <c r="P39" s="20">
        <f t="shared" si="24"/>
        <v>177.5</v>
      </c>
      <c r="Q39" s="20">
        <f t="shared" si="24"/>
        <v>178.7</v>
      </c>
      <c r="R39" s="20">
        <f t="shared" si="24"/>
        <v>179.89999999999998</v>
      </c>
      <c r="S39" s="20">
        <f t="shared" si="24"/>
        <v>264.60000000000002</v>
      </c>
      <c r="T39" s="20">
        <f t="shared" si="24"/>
        <v>265.8</v>
      </c>
      <c r="U39" s="20">
        <f>SUM(C39:T39)</f>
        <v>1720.4999999999998</v>
      </c>
    </row>
    <row r="40" spans="2:21" x14ac:dyDescent="0.2">
      <c r="B40" s="19" t="s">
        <v>229</v>
      </c>
      <c r="C40" s="20">
        <f t="shared" ref="C40:T40" si="25">1*IF(C$4=$W7,$X7,0)+1*IF(C$4=$W8,$X8,0)+1*IF(C$4=$W12,$X12,0)+1*IF(C$4=$W17,$X17,0)+1*IF(C$4=$W19,$X19,0)+1*IF(C$4=$W21,$X21,0)+1*IF(C$4=$W23,$X23,0)+1*IF(C$4=$W25,$X25,0)+1*IF(C$4=$W27,$X27,0)+1*IF(C$4=$W29,$X29,0)</f>
        <v>0</v>
      </c>
      <c r="D40" s="20">
        <f t="shared" si="25"/>
        <v>0</v>
      </c>
      <c r="E40" s="20">
        <f t="shared" si="25"/>
        <v>12</v>
      </c>
      <c r="F40" s="20">
        <f t="shared" si="25"/>
        <v>12</v>
      </c>
      <c r="G40" s="20">
        <f t="shared" si="25"/>
        <v>0</v>
      </c>
      <c r="H40" s="20">
        <f t="shared" si="25"/>
        <v>0</v>
      </c>
      <c r="I40" s="20">
        <f t="shared" si="25"/>
        <v>0</v>
      </c>
      <c r="J40" s="20">
        <f t="shared" si="25"/>
        <v>15</v>
      </c>
      <c r="K40" s="20">
        <f t="shared" si="25"/>
        <v>0</v>
      </c>
      <c r="L40" s="20">
        <f t="shared" si="25"/>
        <v>0</v>
      </c>
      <c r="M40" s="20">
        <f t="shared" si="25"/>
        <v>35</v>
      </c>
      <c r="N40" s="20">
        <f t="shared" si="25"/>
        <v>0</v>
      </c>
      <c r="O40" s="20">
        <f t="shared" si="25"/>
        <v>0</v>
      </c>
      <c r="P40" s="20">
        <f t="shared" si="25"/>
        <v>70</v>
      </c>
      <c r="Q40" s="20">
        <f t="shared" si="25"/>
        <v>0</v>
      </c>
      <c r="R40" s="20">
        <f t="shared" si="25"/>
        <v>0</v>
      </c>
      <c r="S40" s="20">
        <f t="shared" si="25"/>
        <v>70</v>
      </c>
      <c r="T40" s="20">
        <f t="shared" si="25"/>
        <v>0</v>
      </c>
      <c r="U40" s="20">
        <f>SUM(C40:T40)</f>
        <v>214</v>
      </c>
    </row>
    <row r="41" spans="2:21" x14ac:dyDescent="0.2">
      <c r="B41" s="19" t="s">
        <v>230</v>
      </c>
      <c r="C41" s="69">
        <f t="shared" ref="C41:T41" si="26">1*IF(C$4=$W7,1,0)+1*IF(C$4=$W8,1,0)+1*IF(C$4=$W12,1,0)+1*IF(C$4=$W17,1,0)+1*IF(C$4=$W19,1,0)+1*IF(C$4=$W21,1,0)+1*IF(C$4=$W23,1,0)+1*IF(C$4=$W25,1,0)+1*IF(C$4=$W27,1,0)+1*IF(C$4=$W29,1,0)</f>
        <v>0</v>
      </c>
      <c r="D41" s="69">
        <f t="shared" si="26"/>
        <v>0</v>
      </c>
      <c r="E41" s="69">
        <f t="shared" si="26"/>
        <v>1</v>
      </c>
      <c r="F41" s="69">
        <f t="shared" si="26"/>
        <v>1</v>
      </c>
      <c r="G41" s="69">
        <f t="shared" si="26"/>
        <v>0</v>
      </c>
      <c r="H41" s="69">
        <f t="shared" si="26"/>
        <v>0</v>
      </c>
      <c r="I41" s="69">
        <f t="shared" si="26"/>
        <v>0</v>
      </c>
      <c r="J41" s="69">
        <f t="shared" si="26"/>
        <v>1</v>
      </c>
      <c r="K41" s="69">
        <f t="shared" si="26"/>
        <v>0</v>
      </c>
      <c r="L41" s="69">
        <f t="shared" si="26"/>
        <v>0</v>
      </c>
      <c r="M41" s="69">
        <f t="shared" si="26"/>
        <v>1</v>
      </c>
      <c r="N41" s="69">
        <f t="shared" si="26"/>
        <v>0</v>
      </c>
      <c r="O41" s="69">
        <f t="shared" si="26"/>
        <v>0</v>
      </c>
      <c r="P41" s="69">
        <f t="shared" si="26"/>
        <v>2</v>
      </c>
      <c r="Q41" s="69">
        <f t="shared" si="26"/>
        <v>0</v>
      </c>
      <c r="R41" s="69">
        <f t="shared" si="26"/>
        <v>0</v>
      </c>
      <c r="S41" s="69">
        <f t="shared" si="26"/>
        <v>2</v>
      </c>
      <c r="T41" s="69">
        <f t="shared" si="26"/>
        <v>0</v>
      </c>
      <c r="U41" s="69">
        <f>SUM(C41:T41)</f>
        <v>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V50"/>
  <sheetViews>
    <sheetView showGridLines="0" zoomScaleNormal="100" workbookViewId="0">
      <pane xSplit="2" ySplit="4" topLeftCell="C18" activePane="bottomRight" state="frozen"/>
      <selection pane="topRight" activeCell="C1" sqref="C1"/>
      <selection pane="bottomLeft" activeCell="A5" sqref="A5"/>
      <selection pane="bottomRight" activeCell="D30" sqref="D30"/>
    </sheetView>
  </sheetViews>
  <sheetFormatPr baseColWidth="10" defaultColWidth="8.6640625" defaultRowHeight="15" x14ac:dyDescent="0.2"/>
  <cols>
    <col min="1" max="1" width="2" customWidth="1"/>
    <col min="2" max="2" width="40" customWidth="1"/>
    <col min="3" max="20" width="8.5" customWidth="1"/>
    <col min="21" max="21" width="10" customWidth="1"/>
    <col min="22" max="22" width="8" customWidth="1"/>
  </cols>
  <sheetData>
    <row r="2" spans="2:22" ht="17" x14ac:dyDescent="0.2">
      <c r="B2" s="48" t="s">
        <v>231</v>
      </c>
    </row>
    <row r="3" spans="2:22" x14ac:dyDescent="0.2">
      <c r="B3" s="56" t="s">
        <v>232</v>
      </c>
      <c r="C3" s="57" t="s">
        <v>178</v>
      </c>
      <c r="D3" s="57" t="s">
        <v>179</v>
      </c>
      <c r="E3" s="57" t="s">
        <v>180</v>
      </c>
      <c r="F3" s="57" t="s">
        <v>181</v>
      </c>
      <c r="G3" s="57" t="s">
        <v>182</v>
      </c>
      <c r="H3" s="57" t="s">
        <v>183</v>
      </c>
      <c r="I3" s="57" t="s">
        <v>184</v>
      </c>
      <c r="J3" s="57" t="s">
        <v>185</v>
      </c>
      <c r="K3" s="57" t="s">
        <v>186</v>
      </c>
      <c r="L3" s="57" t="s">
        <v>187</v>
      </c>
      <c r="M3" s="57" t="s">
        <v>188</v>
      </c>
      <c r="N3" s="57" t="s">
        <v>189</v>
      </c>
      <c r="O3" s="57" t="s">
        <v>190</v>
      </c>
      <c r="P3" s="57" t="s">
        <v>191</v>
      </c>
      <c r="Q3" s="57" t="s">
        <v>192</v>
      </c>
      <c r="R3" s="57" t="s">
        <v>193</v>
      </c>
      <c r="S3" s="57" t="s">
        <v>194</v>
      </c>
      <c r="T3" s="57" t="s">
        <v>195</v>
      </c>
      <c r="U3" s="58" t="s">
        <v>63</v>
      </c>
      <c r="V3" s="59" t="s">
        <v>233</v>
      </c>
    </row>
    <row r="4" spans="2:22" x14ac:dyDescent="0.2">
      <c r="B4" s="60" t="s">
        <v>199</v>
      </c>
      <c r="C4" s="61">
        <v>1</v>
      </c>
      <c r="D4" s="61">
        <v>2</v>
      </c>
      <c r="E4" s="61">
        <v>3</v>
      </c>
      <c r="F4" s="61">
        <v>4</v>
      </c>
      <c r="G4" s="61">
        <v>5</v>
      </c>
      <c r="H4" s="61">
        <v>6</v>
      </c>
      <c r="I4" s="61">
        <v>7</v>
      </c>
      <c r="J4" s="61">
        <v>8</v>
      </c>
      <c r="K4" s="61">
        <v>9</v>
      </c>
      <c r="L4" s="61">
        <v>10</v>
      </c>
      <c r="M4" s="61">
        <v>11</v>
      </c>
      <c r="N4" s="61">
        <v>12</v>
      </c>
      <c r="O4" s="61">
        <v>13</v>
      </c>
      <c r="P4" s="61">
        <v>14</v>
      </c>
      <c r="Q4" s="61">
        <v>15</v>
      </c>
      <c r="R4" s="61">
        <v>16</v>
      </c>
      <c r="S4" s="61">
        <v>17</v>
      </c>
      <c r="T4" s="61">
        <v>18</v>
      </c>
    </row>
    <row r="5" spans="2:22" x14ac:dyDescent="0.2">
      <c r="B5" s="17" t="s">
        <v>234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2" x14ac:dyDescent="0.2">
      <c r="B6" s="36" t="s">
        <v>235</v>
      </c>
      <c r="C6" s="70">
        <v>2</v>
      </c>
      <c r="D6" s="70">
        <v>2</v>
      </c>
      <c r="E6" s="70">
        <v>2</v>
      </c>
      <c r="F6" s="70">
        <v>2</v>
      </c>
      <c r="G6" s="70">
        <v>2</v>
      </c>
      <c r="H6" s="70">
        <v>2</v>
      </c>
      <c r="I6" s="70">
        <v>2</v>
      </c>
      <c r="J6" s="70">
        <v>2</v>
      </c>
      <c r="K6" s="70">
        <v>2</v>
      </c>
      <c r="L6" s="70">
        <v>2</v>
      </c>
      <c r="M6" s="70">
        <v>2</v>
      </c>
      <c r="N6" s="70">
        <v>2</v>
      </c>
      <c r="O6" s="70">
        <v>2</v>
      </c>
      <c r="P6" s="70">
        <v>2</v>
      </c>
      <c r="Q6" s="70">
        <v>2</v>
      </c>
      <c r="R6" s="70">
        <v>2</v>
      </c>
      <c r="S6" s="70">
        <v>2</v>
      </c>
      <c r="T6" s="70">
        <v>2</v>
      </c>
      <c r="V6" s="71">
        <v>7.9166999999999996</v>
      </c>
    </row>
    <row r="7" spans="2:22" x14ac:dyDescent="0.2">
      <c r="B7" s="36" t="s">
        <v>236</v>
      </c>
      <c r="C7" s="70">
        <v>1</v>
      </c>
      <c r="D7" s="70">
        <v>1</v>
      </c>
      <c r="E7" s="70">
        <v>1</v>
      </c>
      <c r="F7" s="70">
        <v>1</v>
      </c>
      <c r="G7" s="70">
        <v>1</v>
      </c>
      <c r="H7" s="70">
        <v>2</v>
      </c>
      <c r="I7" s="70">
        <v>2</v>
      </c>
      <c r="J7" s="70">
        <v>2</v>
      </c>
      <c r="K7" s="70">
        <v>2</v>
      </c>
      <c r="L7" s="70">
        <v>2</v>
      </c>
      <c r="M7" s="70">
        <v>2</v>
      </c>
      <c r="N7" s="70">
        <v>2</v>
      </c>
      <c r="O7" s="70">
        <v>2</v>
      </c>
      <c r="P7" s="70">
        <v>2</v>
      </c>
      <c r="Q7" s="70">
        <v>2</v>
      </c>
      <c r="R7" s="70">
        <v>2</v>
      </c>
      <c r="S7" s="70">
        <v>2</v>
      </c>
      <c r="T7" s="70">
        <v>2</v>
      </c>
      <c r="V7" s="71">
        <v>8.5</v>
      </c>
    </row>
    <row r="8" spans="2:22" x14ac:dyDescent="0.2">
      <c r="B8" s="36" t="s">
        <v>237</v>
      </c>
      <c r="C8" s="70">
        <v>0.5</v>
      </c>
      <c r="D8" s="70">
        <v>1</v>
      </c>
      <c r="E8" s="70">
        <v>1</v>
      </c>
      <c r="F8" s="70">
        <v>1</v>
      </c>
      <c r="G8" s="70">
        <v>2</v>
      </c>
      <c r="H8" s="70">
        <v>2</v>
      </c>
      <c r="I8" s="70">
        <v>3</v>
      </c>
      <c r="J8" s="70">
        <v>3</v>
      </c>
      <c r="K8" s="70">
        <v>3</v>
      </c>
      <c r="L8" s="70">
        <v>3</v>
      </c>
      <c r="M8" s="70">
        <v>3</v>
      </c>
      <c r="N8" s="70">
        <v>3</v>
      </c>
      <c r="O8" s="70">
        <v>3</v>
      </c>
      <c r="P8" s="70">
        <v>3</v>
      </c>
      <c r="Q8" s="70">
        <v>3</v>
      </c>
      <c r="R8" s="70">
        <v>3</v>
      </c>
      <c r="S8" s="70">
        <v>3</v>
      </c>
      <c r="T8" s="70">
        <v>3</v>
      </c>
      <c r="V8" s="71">
        <v>5.5</v>
      </c>
    </row>
    <row r="9" spans="2:22" x14ac:dyDescent="0.2">
      <c r="B9" s="36" t="s">
        <v>238</v>
      </c>
      <c r="C9" s="70">
        <v>0</v>
      </c>
      <c r="D9" s="70">
        <v>1</v>
      </c>
      <c r="E9" s="70">
        <v>1</v>
      </c>
      <c r="F9" s="70">
        <v>1</v>
      </c>
      <c r="G9" s="70">
        <v>1</v>
      </c>
      <c r="H9" s="70">
        <v>1</v>
      </c>
      <c r="I9" s="70">
        <v>1</v>
      </c>
      <c r="J9" s="70">
        <v>1</v>
      </c>
      <c r="K9" s="70">
        <v>1</v>
      </c>
      <c r="L9" s="70">
        <v>1</v>
      </c>
      <c r="M9" s="70">
        <v>1</v>
      </c>
      <c r="N9" s="70">
        <v>1</v>
      </c>
      <c r="O9" s="70">
        <v>1</v>
      </c>
      <c r="P9" s="70">
        <v>1</v>
      </c>
      <c r="Q9" s="70">
        <v>1</v>
      </c>
      <c r="R9" s="70">
        <v>1</v>
      </c>
      <c r="S9" s="70">
        <v>1</v>
      </c>
      <c r="T9" s="70">
        <v>1</v>
      </c>
      <c r="V9" s="71">
        <v>5.5</v>
      </c>
    </row>
    <row r="10" spans="2:22" x14ac:dyDescent="0.2">
      <c r="B10" s="36" t="s">
        <v>239</v>
      </c>
      <c r="C10" s="70">
        <v>0</v>
      </c>
      <c r="D10" s="70">
        <v>0</v>
      </c>
      <c r="E10" s="70">
        <v>1</v>
      </c>
      <c r="F10" s="70">
        <v>1</v>
      </c>
      <c r="G10" s="70">
        <v>1</v>
      </c>
      <c r="H10" s="70">
        <v>1</v>
      </c>
      <c r="I10" s="70">
        <v>2</v>
      </c>
      <c r="J10" s="70">
        <v>2</v>
      </c>
      <c r="K10" s="70">
        <v>2</v>
      </c>
      <c r="L10" s="70">
        <v>2</v>
      </c>
      <c r="M10" s="70">
        <v>2</v>
      </c>
      <c r="N10" s="70">
        <v>2</v>
      </c>
      <c r="O10" s="70">
        <v>2</v>
      </c>
      <c r="P10" s="70">
        <v>2</v>
      </c>
      <c r="Q10" s="70">
        <v>2</v>
      </c>
      <c r="R10" s="70">
        <v>2</v>
      </c>
      <c r="S10" s="70">
        <v>2</v>
      </c>
      <c r="T10" s="70">
        <v>2</v>
      </c>
      <c r="V10" s="71">
        <v>4.5</v>
      </c>
    </row>
    <row r="11" spans="2:22" x14ac:dyDescent="0.2">
      <c r="B11" s="36" t="s">
        <v>240</v>
      </c>
      <c r="C11" s="70">
        <v>0</v>
      </c>
      <c r="D11" s="70">
        <v>0</v>
      </c>
      <c r="E11" s="70">
        <v>1</v>
      </c>
      <c r="F11" s="70">
        <v>1</v>
      </c>
      <c r="G11" s="70">
        <v>1</v>
      </c>
      <c r="H11" s="70">
        <v>1</v>
      </c>
      <c r="I11" s="70">
        <v>1</v>
      </c>
      <c r="J11" s="70">
        <v>1</v>
      </c>
      <c r="K11" s="70">
        <v>1</v>
      </c>
      <c r="L11" s="70">
        <v>1</v>
      </c>
      <c r="M11" s="70">
        <v>1</v>
      </c>
      <c r="N11" s="70">
        <v>1</v>
      </c>
      <c r="O11" s="70">
        <v>1</v>
      </c>
      <c r="P11" s="70">
        <v>1</v>
      </c>
      <c r="Q11" s="70">
        <v>1</v>
      </c>
      <c r="R11" s="70">
        <v>1</v>
      </c>
      <c r="S11" s="70">
        <v>1</v>
      </c>
      <c r="T11" s="70">
        <v>1</v>
      </c>
      <c r="V11" s="71">
        <v>6.5</v>
      </c>
    </row>
    <row r="12" spans="2:22" x14ac:dyDescent="0.2">
      <c r="B12" s="36" t="s">
        <v>241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1</v>
      </c>
      <c r="I12" s="70">
        <v>1</v>
      </c>
      <c r="J12" s="70">
        <v>1</v>
      </c>
      <c r="K12" s="70">
        <v>1</v>
      </c>
      <c r="L12" s="70">
        <v>1</v>
      </c>
      <c r="M12" s="70">
        <v>1</v>
      </c>
      <c r="N12" s="70">
        <v>1</v>
      </c>
      <c r="O12" s="70">
        <v>1</v>
      </c>
      <c r="P12" s="70">
        <v>1</v>
      </c>
      <c r="Q12" s="70">
        <v>1</v>
      </c>
      <c r="R12" s="70">
        <v>1</v>
      </c>
      <c r="S12" s="70">
        <v>1</v>
      </c>
      <c r="T12" s="70">
        <v>1</v>
      </c>
      <c r="V12" s="71">
        <v>7</v>
      </c>
    </row>
    <row r="13" spans="2:22" x14ac:dyDescent="0.2">
      <c r="B13" s="36" t="s">
        <v>242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1</v>
      </c>
      <c r="I13" s="70">
        <v>1</v>
      </c>
      <c r="J13" s="70">
        <v>1</v>
      </c>
      <c r="K13" s="70">
        <v>1</v>
      </c>
      <c r="L13" s="70">
        <v>1</v>
      </c>
      <c r="M13" s="70">
        <v>1</v>
      </c>
      <c r="N13" s="70">
        <v>1</v>
      </c>
      <c r="O13" s="70">
        <v>1</v>
      </c>
      <c r="P13" s="70">
        <v>1</v>
      </c>
      <c r="Q13" s="70">
        <v>1</v>
      </c>
      <c r="R13" s="70">
        <v>1</v>
      </c>
      <c r="S13" s="70">
        <v>1</v>
      </c>
      <c r="T13" s="70">
        <v>1</v>
      </c>
      <c r="V13" s="71">
        <v>9.5</v>
      </c>
    </row>
    <row r="14" spans="2:22" x14ac:dyDescent="0.2">
      <c r="B14" s="36" t="s">
        <v>243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  <c r="H14" s="70">
        <v>1</v>
      </c>
      <c r="I14" s="70">
        <v>1</v>
      </c>
      <c r="J14" s="70">
        <v>1</v>
      </c>
      <c r="K14" s="70">
        <v>1</v>
      </c>
      <c r="L14" s="70">
        <v>1</v>
      </c>
      <c r="M14" s="70">
        <v>1</v>
      </c>
      <c r="N14" s="70">
        <v>1</v>
      </c>
      <c r="O14" s="70">
        <v>1</v>
      </c>
      <c r="P14" s="70">
        <v>1</v>
      </c>
      <c r="Q14" s="70">
        <v>1</v>
      </c>
      <c r="R14" s="70">
        <v>1</v>
      </c>
      <c r="S14" s="70">
        <v>1</v>
      </c>
      <c r="T14" s="70">
        <v>1</v>
      </c>
      <c r="V14" s="71">
        <v>6.5</v>
      </c>
    </row>
    <row r="15" spans="2:22" x14ac:dyDescent="0.2">
      <c r="B15" s="36" t="s">
        <v>244</v>
      </c>
      <c r="C15" s="70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0.5</v>
      </c>
      <c r="I15" s="70">
        <v>0.5</v>
      </c>
      <c r="J15" s="70">
        <v>0.5</v>
      </c>
      <c r="K15" s="70">
        <v>1</v>
      </c>
      <c r="L15" s="70">
        <v>1</v>
      </c>
      <c r="M15" s="70">
        <v>1</v>
      </c>
      <c r="N15" s="70">
        <v>1</v>
      </c>
      <c r="O15" s="70">
        <v>1</v>
      </c>
      <c r="P15" s="70">
        <v>1</v>
      </c>
      <c r="Q15" s="70">
        <v>1</v>
      </c>
      <c r="R15" s="70">
        <v>1</v>
      </c>
      <c r="S15" s="70">
        <v>1</v>
      </c>
      <c r="T15" s="70">
        <v>1</v>
      </c>
      <c r="V15" s="71">
        <v>4.5</v>
      </c>
    </row>
    <row r="16" spans="2:22" x14ac:dyDescent="0.2">
      <c r="B16" s="64" t="s">
        <v>245</v>
      </c>
      <c r="C16" s="65">
        <f t="shared" ref="C16:T16" si="0">SUMPRODUCT($V$6:$V$15,C6:C15)</f>
        <v>27.083399999999997</v>
      </c>
      <c r="D16" s="65">
        <f t="shared" si="0"/>
        <v>35.333399999999997</v>
      </c>
      <c r="E16" s="65">
        <f t="shared" si="0"/>
        <v>46.333399999999997</v>
      </c>
      <c r="F16" s="65">
        <f t="shared" si="0"/>
        <v>46.333399999999997</v>
      </c>
      <c r="G16" s="65">
        <f t="shared" si="0"/>
        <v>51.833399999999997</v>
      </c>
      <c r="H16" s="65">
        <f t="shared" si="0"/>
        <v>85.583399999999997</v>
      </c>
      <c r="I16" s="65">
        <f t="shared" si="0"/>
        <v>95.583399999999997</v>
      </c>
      <c r="J16" s="65">
        <f t="shared" si="0"/>
        <v>95.583399999999997</v>
      </c>
      <c r="K16" s="65">
        <f t="shared" si="0"/>
        <v>97.833399999999997</v>
      </c>
      <c r="L16" s="65">
        <f t="shared" si="0"/>
        <v>97.833399999999997</v>
      </c>
      <c r="M16" s="65">
        <f t="shared" si="0"/>
        <v>97.833399999999997</v>
      </c>
      <c r="N16" s="65">
        <f t="shared" si="0"/>
        <v>97.833399999999997</v>
      </c>
      <c r="O16" s="65">
        <f t="shared" si="0"/>
        <v>97.833399999999997</v>
      </c>
      <c r="P16" s="65">
        <f t="shared" si="0"/>
        <v>97.833399999999997</v>
      </c>
      <c r="Q16" s="65">
        <f t="shared" si="0"/>
        <v>97.833399999999997</v>
      </c>
      <c r="R16" s="65">
        <f t="shared" si="0"/>
        <v>97.833399999999997</v>
      </c>
      <c r="S16" s="65">
        <f t="shared" si="0"/>
        <v>97.833399999999997</v>
      </c>
      <c r="T16" s="65">
        <f t="shared" si="0"/>
        <v>97.833399999999997</v>
      </c>
      <c r="U16" s="65">
        <f t="shared" ref="U16:U21" si="1">SUM(C16:T16)</f>
        <v>1462.0011999999999</v>
      </c>
    </row>
    <row r="17" spans="2:22" x14ac:dyDescent="0.2">
      <c r="B17" s="19" t="s">
        <v>70</v>
      </c>
      <c r="C17" s="20">
        <f t="shared" ref="C17:T17" si="2">$V$17*C16</f>
        <v>4.0625099999999996</v>
      </c>
      <c r="D17" s="20">
        <f t="shared" si="2"/>
        <v>5.3000099999999994</v>
      </c>
      <c r="E17" s="20">
        <f t="shared" si="2"/>
        <v>6.9500099999999998</v>
      </c>
      <c r="F17" s="20">
        <f t="shared" si="2"/>
        <v>6.9500099999999998</v>
      </c>
      <c r="G17" s="20">
        <f t="shared" si="2"/>
        <v>7.7750099999999991</v>
      </c>
      <c r="H17" s="20">
        <f t="shared" si="2"/>
        <v>12.83751</v>
      </c>
      <c r="I17" s="20">
        <f t="shared" si="2"/>
        <v>14.33751</v>
      </c>
      <c r="J17" s="20">
        <f t="shared" si="2"/>
        <v>14.33751</v>
      </c>
      <c r="K17" s="20">
        <f t="shared" si="2"/>
        <v>14.675009999999999</v>
      </c>
      <c r="L17" s="20">
        <f t="shared" si="2"/>
        <v>14.675009999999999</v>
      </c>
      <c r="M17" s="20">
        <f t="shared" si="2"/>
        <v>14.675009999999999</v>
      </c>
      <c r="N17" s="20">
        <f t="shared" si="2"/>
        <v>14.675009999999999</v>
      </c>
      <c r="O17" s="20">
        <f t="shared" si="2"/>
        <v>14.675009999999999</v>
      </c>
      <c r="P17" s="20">
        <f t="shared" si="2"/>
        <v>14.675009999999999</v>
      </c>
      <c r="Q17" s="20">
        <f t="shared" si="2"/>
        <v>14.675009999999999</v>
      </c>
      <c r="R17" s="20">
        <f t="shared" si="2"/>
        <v>14.675009999999999</v>
      </c>
      <c r="S17" s="20">
        <f t="shared" si="2"/>
        <v>14.675009999999999</v>
      </c>
      <c r="T17" s="20">
        <f t="shared" si="2"/>
        <v>14.675009999999999</v>
      </c>
      <c r="U17" s="20">
        <f t="shared" si="1"/>
        <v>219.3001799999999</v>
      </c>
      <c r="V17" s="63">
        <v>0.15</v>
      </c>
    </row>
    <row r="18" spans="2:22" x14ac:dyDescent="0.2">
      <c r="B18" s="19" t="s">
        <v>71</v>
      </c>
      <c r="C18" s="20">
        <f t="shared" ref="C18:T18" si="3">$V$18*C16</f>
        <v>0.81250199999999995</v>
      </c>
      <c r="D18" s="20">
        <f t="shared" si="3"/>
        <v>1.0600019999999999</v>
      </c>
      <c r="E18" s="20">
        <f t="shared" si="3"/>
        <v>1.390002</v>
      </c>
      <c r="F18" s="20">
        <f t="shared" si="3"/>
        <v>1.390002</v>
      </c>
      <c r="G18" s="20">
        <f t="shared" si="3"/>
        <v>1.5550019999999998</v>
      </c>
      <c r="H18" s="20">
        <f t="shared" si="3"/>
        <v>2.5675019999999997</v>
      </c>
      <c r="I18" s="20">
        <f t="shared" si="3"/>
        <v>2.867502</v>
      </c>
      <c r="J18" s="20">
        <f t="shared" si="3"/>
        <v>2.867502</v>
      </c>
      <c r="K18" s="20">
        <f t="shared" si="3"/>
        <v>2.9350019999999999</v>
      </c>
      <c r="L18" s="20">
        <f t="shared" si="3"/>
        <v>2.9350019999999999</v>
      </c>
      <c r="M18" s="20">
        <f t="shared" si="3"/>
        <v>2.9350019999999999</v>
      </c>
      <c r="N18" s="20">
        <f t="shared" si="3"/>
        <v>2.9350019999999999</v>
      </c>
      <c r="O18" s="20">
        <f t="shared" si="3"/>
        <v>2.9350019999999999</v>
      </c>
      <c r="P18" s="20">
        <f t="shared" si="3"/>
        <v>2.9350019999999999</v>
      </c>
      <c r="Q18" s="20">
        <f t="shared" si="3"/>
        <v>2.9350019999999999</v>
      </c>
      <c r="R18" s="20">
        <f t="shared" si="3"/>
        <v>2.9350019999999999</v>
      </c>
      <c r="S18" s="20">
        <f t="shared" si="3"/>
        <v>2.9350019999999999</v>
      </c>
      <c r="T18" s="20">
        <f t="shared" si="3"/>
        <v>2.9350019999999999</v>
      </c>
      <c r="U18" s="20">
        <f t="shared" si="1"/>
        <v>43.860035999999987</v>
      </c>
      <c r="V18" s="63">
        <v>0.03</v>
      </c>
    </row>
    <row r="19" spans="2:22" x14ac:dyDescent="0.2">
      <c r="B19" s="19" t="s">
        <v>246</v>
      </c>
      <c r="C19" s="33">
        <v>0</v>
      </c>
      <c r="D19" s="33">
        <v>3</v>
      </c>
      <c r="E19" s="33">
        <v>3</v>
      </c>
      <c r="F19" s="33">
        <v>3</v>
      </c>
      <c r="G19" s="33">
        <v>3</v>
      </c>
      <c r="H19" s="33">
        <v>3</v>
      </c>
      <c r="I19" s="33">
        <v>6</v>
      </c>
      <c r="J19" s="33">
        <v>6</v>
      </c>
      <c r="K19" s="33">
        <v>6</v>
      </c>
      <c r="L19" s="33">
        <v>6</v>
      </c>
      <c r="M19" s="33">
        <v>6</v>
      </c>
      <c r="N19" s="33">
        <v>6</v>
      </c>
      <c r="O19" s="33">
        <v>6</v>
      </c>
      <c r="P19" s="33">
        <v>6</v>
      </c>
      <c r="Q19" s="33">
        <v>6</v>
      </c>
      <c r="R19" s="33">
        <v>6</v>
      </c>
      <c r="S19" s="33">
        <v>6</v>
      </c>
      <c r="T19" s="33">
        <v>6</v>
      </c>
      <c r="U19" s="28">
        <f t="shared" si="1"/>
        <v>87</v>
      </c>
    </row>
    <row r="20" spans="2:22" x14ac:dyDescent="0.2">
      <c r="B20" s="19" t="s">
        <v>247</v>
      </c>
      <c r="C20" s="28">
        <v>0</v>
      </c>
      <c r="D20" s="28">
        <v>0</v>
      </c>
      <c r="E20" s="28">
        <v>8.6</v>
      </c>
      <c r="F20" s="28">
        <v>6.3</v>
      </c>
      <c r="G20" s="28">
        <v>0</v>
      </c>
      <c r="H20" s="28">
        <v>0</v>
      </c>
      <c r="I20" s="28">
        <v>12.6</v>
      </c>
      <c r="J20" s="28">
        <v>0</v>
      </c>
      <c r="K20" s="28">
        <v>13.5</v>
      </c>
      <c r="L20" s="28">
        <v>12.6</v>
      </c>
      <c r="M20" s="28">
        <v>0</v>
      </c>
      <c r="N20" s="28">
        <v>27</v>
      </c>
      <c r="O20" s="28">
        <v>12.6</v>
      </c>
      <c r="P20" s="28">
        <v>0</v>
      </c>
      <c r="Q20" s="28">
        <v>27</v>
      </c>
      <c r="R20" s="28">
        <v>12.6</v>
      </c>
      <c r="S20" s="28">
        <v>0</v>
      </c>
      <c r="T20" s="28">
        <v>27</v>
      </c>
      <c r="U20" s="28">
        <f t="shared" si="1"/>
        <v>159.79999999999998</v>
      </c>
    </row>
    <row r="21" spans="2:22" x14ac:dyDescent="0.2">
      <c r="B21" s="19" t="s">
        <v>248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5</v>
      </c>
      <c r="P21" s="33">
        <v>5</v>
      </c>
      <c r="Q21" s="33">
        <v>5</v>
      </c>
      <c r="R21" s="33">
        <v>5</v>
      </c>
      <c r="S21" s="33">
        <v>5</v>
      </c>
      <c r="T21" s="33">
        <v>5</v>
      </c>
      <c r="U21" s="28">
        <f t="shared" si="1"/>
        <v>30</v>
      </c>
    </row>
    <row r="23" spans="2:22" x14ac:dyDescent="0.2">
      <c r="B23" s="17" t="s">
        <v>249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2:22" x14ac:dyDescent="0.2">
      <c r="B24" s="19" t="s">
        <v>250</v>
      </c>
      <c r="C24" s="33">
        <v>1.5</v>
      </c>
      <c r="D24" s="33">
        <v>1.5</v>
      </c>
      <c r="E24" s="33">
        <v>1.5</v>
      </c>
      <c r="F24" s="33">
        <v>2.5</v>
      </c>
      <c r="G24" s="33">
        <v>2.5</v>
      </c>
      <c r="H24" s="33">
        <v>2.5</v>
      </c>
      <c r="I24" s="33">
        <v>3.5</v>
      </c>
      <c r="J24" s="33">
        <v>3.5</v>
      </c>
      <c r="K24" s="33">
        <v>3.5</v>
      </c>
      <c r="L24" s="33">
        <v>4.5</v>
      </c>
      <c r="M24" s="33">
        <v>4.5</v>
      </c>
      <c r="N24" s="33">
        <v>4.5</v>
      </c>
      <c r="O24" s="33">
        <v>5.5</v>
      </c>
      <c r="P24" s="33">
        <v>5.5</v>
      </c>
      <c r="Q24" s="33">
        <v>5.5</v>
      </c>
      <c r="R24" s="33">
        <v>6.5</v>
      </c>
      <c r="S24" s="33">
        <v>6.5</v>
      </c>
      <c r="T24" s="33">
        <v>6.5</v>
      </c>
      <c r="U24" s="28">
        <f t="shared" ref="U24:U41" si="4">SUM(C24:T24)</f>
        <v>72</v>
      </c>
    </row>
    <row r="25" spans="2:22" x14ac:dyDescent="0.2">
      <c r="B25" s="19" t="s">
        <v>251</v>
      </c>
      <c r="C25" s="33">
        <v>0.8</v>
      </c>
      <c r="D25" s="33">
        <v>0.8</v>
      </c>
      <c r="E25" s="33">
        <v>0.8</v>
      </c>
      <c r="F25" s="33">
        <v>1.5</v>
      </c>
      <c r="G25" s="33">
        <v>1.5</v>
      </c>
      <c r="H25" s="33">
        <v>1.5</v>
      </c>
      <c r="I25" s="33">
        <v>2.5</v>
      </c>
      <c r="J25" s="33">
        <v>2.5</v>
      </c>
      <c r="K25" s="33">
        <v>2.5</v>
      </c>
      <c r="L25" s="33">
        <v>3.5</v>
      </c>
      <c r="M25" s="33">
        <v>3.5</v>
      </c>
      <c r="N25" s="33">
        <v>3.5</v>
      </c>
      <c r="O25" s="33">
        <v>4.5</v>
      </c>
      <c r="P25" s="33">
        <v>4.5</v>
      </c>
      <c r="Q25" s="33">
        <v>4.5</v>
      </c>
      <c r="R25" s="33">
        <v>5.5</v>
      </c>
      <c r="S25" s="33">
        <v>5.5</v>
      </c>
      <c r="T25" s="33">
        <v>5.5</v>
      </c>
      <c r="U25" s="28">
        <f t="shared" si="4"/>
        <v>54.9</v>
      </c>
    </row>
    <row r="26" spans="2:22" x14ac:dyDescent="0.2">
      <c r="B26" s="19" t="s">
        <v>252</v>
      </c>
      <c r="C26" s="33">
        <v>1.2</v>
      </c>
      <c r="D26" s="33">
        <v>1.2</v>
      </c>
      <c r="E26" s="33">
        <v>1.2</v>
      </c>
      <c r="F26" s="33">
        <v>2</v>
      </c>
      <c r="G26" s="33">
        <v>2</v>
      </c>
      <c r="H26" s="33">
        <v>2</v>
      </c>
      <c r="I26" s="33">
        <v>3</v>
      </c>
      <c r="J26" s="33">
        <v>3</v>
      </c>
      <c r="K26" s="33">
        <v>3</v>
      </c>
      <c r="L26" s="33">
        <v>4</v>
      </c>
      <c r="M26" s="33">
        <v>4</v>
      </c>
      <c r="N26" s="33">
        <v>4</v>
      </c>
      <c r="O26" s="33">
        <v>5</v>
      </c>
      <c r="P26" s="33">
        <v>5</v>
      </c>
      <c r="Q26" s="33">
        <v>5</v>
      </c>
      <c r="R26" s="33">
        <v>6</v>
      </c>
      <c r="S26" s="33">
        <v>6</v>
      </c>
      <c r="T26" s="33">
        <v>6</v>
      </c>
      <c r="U26" s="28">
        <f t="shared" si="4"/>
        <v>63.6</v>
      </c>
    </row>
    <row r="27" spans="2:22" x14ac:dyDescent="0.2">
      <c r="B27" s="19" t="s">
        <v>253</v>
      </c>
      <c r="C27" s="33">
        <v>3</v>
      </c>
      <c r="D27" s="33">
        <v>3</v>
      </c>
      <c r="E27" s="33">
        <v>3</v>
      </c>
      <c r="F27" s="33">
        <v>5</v>
      </c>
      <c r="G27" s="33">
        <v>5</v>
      </c>
      <c r="H27" s="33">
        <v>5</v>
      </c>
      <c r="I27" s="33">
        <v>5</v>
      </c>
      <c r="J27" s="33">
        <v>5</v>
      </c>
      <c r="K27" s="33">
        <v>5</v>
      </c>
      <c r="L27" s="33">
        <v>6</v>
      </c>
      <c r="M27" s="33">
        <v>6</v>
      </c>
      <c r="N27" s="33">
        <v>6</v>
      </c>
      <c r="O27" s="33">
        <v>7</v>
      </c>
      <c r="P27" s="33">
        <v>7</v>
      </c>
      <c r="Q27" s="33">
        <v>7</v>
      </c>
      <c r="R27" s="33">
        <v>8</v>
      </c>
      <c r="S27" s="33">
        <v>8</v>
      </c>
      <c r="T27" s="33">
        <v>8</v>
      </c>
      <c r="U27" s="28">
        <f t="shared" si="4"/>
        <v>102</v>
      </c>
    </row>
    <row r="28" spans="2:22" x14ac:dyDescent="0.2">
      <c r="B28" s="19" t="s">
        <v>254</v>
      </c>
      <c r="C28" s="33">
        <v>0</v>
      </c>
      <c r="D28" s="33">
        <v>0</v>
      </c>
      <c r="E28" s="33">
        <v>0</v>
      </c>
      <c r="F28" s="33">
        <v>0</v>
      </c>
      <c r="G28" s="33">
        <v>1.5</v>
      </c>
      <c r="H28" s="33">
        <v>1.5</v>
      </c>
      <c r="I28" s="33">
        <v>1.5</v>
      </c>
      <c r="J28" s="33">
        <v>1.5</v>
      </c>
      <c r="K28" s="33">
        <v>1.5</v>
      </c>
      <c r="L28" s="33">
        <v>1.5</v>
      </c>
      <c r="M28" s="33">
        <v>1.5</v>
      </c>
      <c r="N28" s="33">
        <v>1.5</v>
      </c>
      <c r="O28" s="33">
        <v>1.5</v>
      </c>
      <c r="P28" s="33">
        <v>1.5</v>
      </c>
      <c r="Q28" s="33">
        <v>1.5</v>
      </c>
      <c r="R28" s="33">
        <v>1.5</v>
      </c>
      <c r="S28" s="33">
        <v>1.5</v>
      </c>
      <c r="T28" s="33">
        <v>1.5</v>
      </c>
      <c r="U28" s="28">
        <f t="shared" si="4"/>
        <v>21</v>
      </c>
    </row>
    <row r="29" spans="2:22" x14ac:dyDescent="0.2">
      <c r="B29" s="19" t="s">
        <v>255</v>
      </c>
      <c r="C29" s="28">
        <f>18*'Revenue (monthly)'!C41</f>
        <v>0</v>
      </c>
      <c r="D29" s="28">
        <f>18*'Revenue (monthly)'!D41</f>
        <v>0</v>
      </c>
      <c r="E29" s="28">
        <f>18*'Revenue (monthly)'!E41</f>
        <v>18</v>
      </c>
      <c r="F29" s="28">
        <f>18*'Revenue (monthly)'!F41</f>
        <v>18</v>
      </c>
      <c r="G29" s="28">
        <f>18*'Revenue (monthly)'!G41</f>
        <v>0</v>
      </c>
      <c r="H29" s="28">
        <f>18*'Revenue (monthly)'!H41</f>
        <v>0</v>
      </c>
      <c r="I29" s="28">
        <f>12*'Revenue (monthly)'!I41</f>
        <v>0</v>
      </c>
      <c r="J29" s="28">
        <f>12*'Revenue (monthly)'!J41</f>
        <v>12</v>
      </c>
      <c r="K29" s="28">
        <f>12*'Revenue (monthly)'!K41</f>
        <v>0</v>
      </c>
      <c r="L29" s="28">
        <f>12*'Revenue (monthly)'!L41</f>
        <v>0</v>
      </c>
      <c r="M29" s="28">
        <f>12*'Revenue (monthly)'!M41</f>
        <v>12</v>
      </c>
      <c r="N29" s="28">
        <f>12*'Revenue (monthly)'!N41</f>
        <v>0</v>
      </c>
      <c r="O29" s="28">
        <f>8*'Revenue (monthly)'!O41</f>
        <v>0</v>
      </c>
      <c r="P29" s="28">
        <f>8*'Revenue (monthly)'!P41</f>
        <v>16</v>
      </c>
      <c r="Q29" s="28">
        <f>8*'Revenue (monthly)'!Q41</f>
        <v>0</v>
      </c>
      <c r="R29" s="28">
        <f>8*'Revenue (monthly)'!R41</f>
        <v>0</v>
      </c>
      <c r="S29" s="28">
        <f>8*'Revenue (monthly)'!S41</f>
        <v>16</v>
      </c>
      <c r="T29" s="28">
        <f>8*'Revenue (monthly)'!T41</f>
        <v>0</v>
      </c>
      <c r="U29" s="28">
        <f t="shared" si="4"/>
        <v>92</v>
      </c>
    </row>
    <row r="30" spans="2:22" x14ac:dyDescent="0.2">
      <c r="B30" s="19" t="s">
        <v>256</v>
      </c>
      <c r="C30" s="33">
        <v>0</v>
      </c>
      <c r="D30" s="33">
        <v>40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40</v>
      </c>
      <c r="Q30" s="33">
        <v>0</v>
      </c>
      <c r="R30" s="33">
        <v>0</v>
      </c>
      <c r="S30" s="33">
        <v>0</v>
      </c>
      <c r="T30" s="33">
        <v>0</v>
      </c>
      <c r="U30" s="28">
        <f t="shared" si="4"/>
        <v>80</v>
      </c>
    </row>
    <row r="31" spans="2:22" x14ac:dyDescent="0.2">
      <c r="B31" s="19" t="s">
        <v>257</v>
      </c>
      <c r="C31" s="33">
        <v>2.5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2.5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28">
        <f t="shared" si="4"/>
        <v>5</v>
      </c>
    </row>
    <row r="32" spans="2:22" x14ac:dyDescent="0.2">
      <c r="B32" s="19" t="s">
        <v>258</v>
      </c>
      <c r="C32" s="33">
        <v>1.5</v>
      </c>
      <c r="D32" s="33">
        <v>1.5</v>
      </c>
      <c r="E32" s="33">
        <v>1.5</v>
      </c>
      <c r="F32" s="33">
        <v>1.5</v>
      </c>
      <c r="G32" s="33">
        <v>1.5</v>
      </c>
      <c r="H32" s="33">
        <v>1.5</v>
      </c>
      <c r="I32" s="33">
        <v>1.5</v>
      </c>
      <c r="J32" s="33">
        <v>1.5</v>
      </c>
      <c r="K32" s="33">
        <v>1.5</v>
      </c>
      <c r="L32" s="33">
        <v>1.5</v>
      </c>
      <c r="M32" s="33">
        <v>1.5</v>
      </c>
      <c r="N32" s="33">
        <v>1.5</v>
      </c>
      <c r="O32" s="33">
        <v>1.5</v>
      </c>
      <c r="P32" s="33">
        <v>1.5</v>
      </c>
      <c r="Q32" s="33">
        <v>1.5</v>
      </c>
      <c r="R32" s="33">
        <v>1.5</v>
      </c>
      <c r="S32" s="33">
        <v>1.5</v>
      </c>
      <c r="T32" s="33">
        <v>1.5</v>
      </c>
      <c r="U32" s="28">
        <f t="shared" si="4"/>
        <v>27</v>
      </c>
    </row>
    <row r="33" spans="2:22" x14ac:dyDescent="0.2">
      <c r="B33" s="19" t="s">
        <v>83</v>
      </c>
      <c r="C33" s="33">
        <v>0</v>
      </c>
      <c r="D33" s="33">
        <v>0</v>
      </c>
      <c r="E33" s="33">
        <v>6</v>
      </c>
      <c r="F33" s="33">
        <v>8</v>
      </c>
      <c r="G33" s="33">
        <v>0</v>
      </c>
      <c r="H33" s="33">
        <v>0</v>
      </c>
      <c r="I33" s="33">
        <v>0</v>
      </c>
      <c r="J33" s="33">
        <v>0</v>
      </c>
      <c r="K33" s="33">
        <v>6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28">
        <f t="shared" si="4"/>
        <v>20</v>
      </c>
    </row>
    <row r="34" spans="2:22" x14ac:dyDescent="0.2">
      <c r="B34" s="19" t="s">
        <v>84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5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28">
        <f t="shared" si="4"/>
        <v>5</v>
      </c>
    </row>
    <row r="35" spans="2:22" x14ac:dyDescent="0.2">
      <c r="B35" s="19" t="s">
        <v>85</v>
      </c>
      <c r="C35" s="33">
        <v>0</v>
      </c>
      <c r="D35" s="33">
        <v>0</v>
      </c>
      <c r="E35" s="33">
        <v>0.5</v>
      </c>
      <c r="F35" s="33">
        <v>0</v>
      </c>
      <c r="G35" s="33">
        <v>2.5</v>
      </c>
      <c r="H35" s="33">
        <v>0</v>
      </c>
      <c r="I35" s="33">
        <v>9</v>
      </c>
      <c r="J35" s="33">
        <v>0</v>
      </c>
      <c r="K35" s="33">
        <v>20</v>
      </c>
      <c r="L35" s="33">
        <v>9</v>
      </c>
      <c r="M35" s="33">
        <v>18</v>
      </c>
      <c r="N35" s="33">
        <v>0</v>
      </c>
      <c r="O35" s="33">
        <v>10</v>
      </c>
      <c r="P35" s="33">
        <v>0</v>
      </c>
      <c r="Q35" s="33">
        <v>15</v>
      </c>
      <c r="R35" s="33">
        <v>0</v>
      </c>
      <c r="S35" s="33">
        <v>0</v>
      </c>
      <c r="T35" s="33">
        <v>15</v>
      </c>
      <c r="U35" s="28">
        <f t="shared" si="4"/>
        <v>99</v>
      </c>
    </row>
    <row r="36" spans="2:22" x14ac:dyDescent="0.2">
      <c r="B36" s="19" t="s">
        <v>259</v>
      </c>
      <c r="C36" s="33">
        <v>0</v>
      </c>
      <c r="D36" s="33">
        <v>0</v>
      </c>
      <c r="E36" s="33">
        <v>0</v>
      </c>
      <c r="F36" s="33">
        <v>0</v>
      </c>
      <c r="G36" s="33">
        <v>50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28">
        <f t="shared" si="4"/>
        <v>50</v>
      </c>
    </row>
    <row r="37" spans="2:22" x14ac:dyDescent="0.2">
      <c r="B37" s="19" t="s">
        <v>260</v>
      </c>
      <c r="C37" s="33">
        <v>0</v>
      </c>
      <c r="D37" s="33">
        <v>0</v>
      </c>
      <c r="E37" s="33">
        <v>4</v>
      </c>
      <c r="F37" s="33">
        <v>4</v>
      </c>
      <c r="G37" s="33">
        <v>4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28">
        <f t="shared" si="4"/>
        <v>12</v>
      </c>
    </row>
    <row r="38" spans="2:22" x14ac:dyDescent="0.2">
      <c r="B38" s="19" t="s">
        <v>88</v>
      </c>
      <c r="C38" s="33">
        <v>2</v>
      </c>
      <c r="D38" s="33">
        <v>2</v>
      </c>
      <c r="E38" s="33">
        <v>2</v>
      </c>
      <c r="F38" s="33">
        <v>2.5</v>
      </c>
      <c r="G38" s="33">
        <v>2.5</v>
      </c>
      <c r="H38" s="33">
        <v>2.5</v>
      </c>
      <c r="I38" s="33">
        <v>3.5</v>
      </c>
      <c r="J38" s="33">
        <v>3.5</v>
      </c>
      <c r="K38" s="33">
        <v>3.5</v>
      </c>
      <c r="L38" s="33">
        <v>4.5</v>
      </c>
      <c r="M38" s="33">
        <v>4.5</v>
      </c>
      <c r="N38" s="33">
        <v>4.5</v>
      </c>
      <c r="O38" s="33">
        <v>5.5</v>
      </c>
      <c r="P38" s="33">
        <v>5.5</v>
      </c>
      <c r="Q38" s="33">
        <v>5.5</v>
      </c>
      <c r="R38" s="33">
        <v>6.5</v>
      </c>
      <c r="S38" s="33">
        <v>6.5</v>
      </c>
      <c r="T38" s="33">
        <v>6.5</v>
      </c>
      <c r="U38" s="28">
        <f t="shared" si="4"/>
        <v>73.5</v>
      </c>
    </row>
    <row r="39" spans="2:22" x14ac:dyDescent="0.2">
      <c r="B39" s="19" t="s">
        <v>89</v>
      </c>
      <c r="C39" s="33">
        <v>4</v>
      </c>
      <c r="D39" s="33">
        <v>4</v>
      </c>
      <c r="E39" s="33">
        <v>4</v>
      </c>
      <c r="F39" s="33">
        <v>3</v>
      </c>
      <c r="G39" s="33">
        <v>3</v>
      </c>
      <c r="H39" s="33">
        <v>3</v>
      </c>
      <c r="I39" s="33">
        <v>5</v>
      </c>
      <c r="J39" s="33">
        <v>5</v>
      </c>
      <c r="K39" s="33">
        <v>5</v>
      </c>
      <c r="L39" s="33">
        <v>5</v>
      </c>
      <c r="M39" s="33">
        <v>5</v>
      </c>
      <c r="N39" s="33">
        <v>5</v>
      </c>
      <c r="O39" s="33">
        <v>6</v>
      </c>
      <c r="P39" s="33">
        <v>6</v>
      </c>
      <c r="Q39" s="33">
        <v>6</v>
      </c>
      <c r="R39" s="33">
        <v>6</v>
      </c>
      <c r="S39" s="33">
        <v>6</v>
      </c>
      <c r="T39" s="33">
        <v>6</v>
      </c>
      <c r="U39" s="28">
        <f t="shared" si="4"/>
        <v>87</v>
      </c>
    </row>
    <row r="40" spans="2:22" x14ac:dyDescent="0.2">
      <c r="B40" s="19" t="s">
        <v>90</v>
      </c>
      <c r="C40" s="33">
        <v>1.5</v>
      </c>
      <c r="D40" s="33">
        <v>1.5</v>
      </c>
      <c r="E40" s="33">
        <v>1.5</v>
      </c>
      <c r="F40" s="33">
        <v>1.8</v>
      </c>
      <c r="G40" s="33">
        <v>1.8</v>
      </c>
      <c r="H40" s="33">
        <v>1.8</v>
      </c>
      <c r="I40" s="33">
        <v>2.2000000000000002</v>
      </c>
      <c r="J40" s="33">
        <v>2.2000000000000002</v>
      </c>
      <c r="K40" s="33">
        <v>2.2000000000000002</v>
      </c>
      <c r="L40" s="33">
        <v>2.5</v>
      </c>
      <c r="M40" s="33">
        <v>2.5</v>
      </c>
      <c r="N40" s="33">
        <v>2.5</v>
      </c>
      <c r="O40" s="33">
        <v>2.8</v>
      </c>
      <c r="P40" s="33">
        <v>2.8</v>
      </c>
      <c r="Q40" s="33">
        <v>2.8</v>
      </c>
      <c r="R40" s="33">
        <v>3.2</v>
      </c>
      <c r="S40" s="33">
        <v>3.2</v>
      </c>
      <c r="T40" s="33">
        <v>3.2</v>
      </c>
      <c r="U40" s="28">
        <f t="shared" si="4"/>
        <v>42.000000000000007</v>
      </c>
    </row>
    <row r="41" spans="2:22" x14ac:dyDescent="0.2">
      <c r="B41" s="64" t="s">
        <v>261</v>
      </c>
      <c r="C41" s="65">
        <f t="shared" ref="C41:T41" si="5">SUM(C24:C40)</f>
        <v>18</v>
      </c>
      <c r="D41" s="65">
        <f t="shared" si="5"/>
        <v>55.5</v>
      </c>
      <c r="E41" s="65">
        <f t="shared" si="5"/>
        <v>44</v>
      </c>
      <c r="F41" s="65">
        <f t="shared" si="5"/>
        <v>49.8</v>
      </c>
      <c r="G41" s="65">
        <f t="shared" si="5"/>
        <v>77.8</v>
      </c>
      <c r="H41" s="65">
        <f t="shared" si="5"/>
        <v>21.3</v>
      </c>
      <c r="I41" s="65">
        <f t="shared" si="5"/>
        <v>36.700000000000003</v>
      </c>
      <c r="J41" s="65">
        <f t="shared" si="5"/>
        <v>44.7</v>
      </c>
      <c r="K41" s="65">
        <f t="shared" si="5"/>
        <v>53.7</v>
      </c>
      <c r="L41" s="65">
        <f t="shared" si="5"/>
        <v>42</v>
      </c>
      <c r="M41" s="65">
        <f t="shared" si="5"/>
        <v>63</v>
      </c>
      <c r="N41" s="65">
        <f t="shared" si="5"/>
        <v>33</v>
      </c>
      <c r="O41" s="65">
        <f t="shared" si="5"/>
        <v>51.8</v>
      </c>
      <c r="P41" s="65">
        <f t="shared" si="5"/>
        <v>95.3</v>
      </c>
      <c r="Q41" s="65">
        <f t="shared" si="5"/>
        <v>54.3</v>
      </c>
      <c r="R41" s="65">
        <f t="shared" si="5"/>
        <v>44.7</v>
      </c>
      <c r="S41" s="65">
        <f t="shared" si="5"/>
        <v>60.7</v>
      </c>
      <c r="T41" s="65">
        <f t="shared" si="5"/>
        <v>59.7</v>
      </c>
      <c r="U41" s="65">
        <f t="shared" si="4"/>
        <v>906</v>
      </c>
    </row>
    <row r="43" spans="2:22" x14ac:dyDescent="0.2">
      <c r="B43" s="72" t="s">
        <v>262</v>
      </c>
      <c r="C43" s="73">
        <f t="shared" ref="C43:T43" si="6">C16+C17+C18+C19+C20+C21+C41</f>
        <v>49.958411999999996</v>
      </c>
      <c r="D43" s="73">
        <f t="shared" si="6"/>
        <v>100.193412</v>
      </c>
      <c r="E43" s="73">
        <f t="shared" si="6"/>
        <v>110.27341199999999</v>
      </c>
      <c r="F43" s="73">
        <f t="shared" si="6"/>
        <v>113.77341199999999</v>
      </c>
      <c r="G43" s="73">
        <f t="shared" si="6"/>
        <v>141.96341200000001</v>
      </c>
      <c r="H43" s="73">
        <f t="shared" si="6"/>
        <v>125.28841199999999</v>
      </c>
      <c r="I43" s="73">
        <f t="shared" si="6"/>
        <v>168.08841200000001</v>
      </c>
      <c r="J43" s="73">
        <f t="shared" si="6"/>
        <v>163.48841199999998</v>
      </c>
      <c r="K43" s="73">
        <f t="shared" si="6"/>
        <v>188.64341200000001</v>
      </c>
      <c r="L43" s="73">
        <f t="shared" si="6"/>
        <v>176.04341199999999</v>
      </c>
      <c r="M43" s="73">
        <f t="shared" si="6"/>
        <v>184.443412</v>
      </c>
      <c r="N43" s="73">
        <f t="shared" si="6"/>
        <v>181.443412</v>
      </c>
      <c r="O43" s="73">
        <f t="shared" si="6"/>
        <v>190.843412</v>
      </c>
      <c r="P43" s="73">
        <f t="shared" si="6"/>
        <v>221.74341199999998</v>
      </c>
      <c r="Q43" s="73">
        <f t="shared" si="6"/>
        <v>207.74341199999998</v>
      </c>
      <c r="R43" s="73">
        <f t="shared" si="6"/>
        <v>183.74341199999998</v>
      </c>
      <c r="S43" s="73">
        <f t="shared" si="6"/>
        <v>187.14341200000001</v>
      </c>
      <c r="T43" s="73">
        <f t="shared" si="6"/>
        <v>213.14341200000001</v>
      </c>
      <c r="U43" s="73">
        <f>SUM(C43:T43)</f>
        <v>2907.9614159999996</v>
      </c>
    </row>
    <row r="44" spans="2:22" x14ac:dyDescent="0.2">
      <c r="B44" s="19" t="s">
        <v>263</v>
      </c>
      <c r="C44" s="20">
        <f t="shared" ref="C44:T44" si="7">$V$44*C43</f>
        <v>4.9958412000000001</v>
      </c>
      <c r="D44" s="20">
        <f t="shared" si="7"/>
        <v>10.0193412</v>
      </c>
      <c r="E44" s="20">
        <f t="shared" si="7"/>
        <v>11.0273412</v>
      </c>
      <c r="F44" s="20">
        <f t="shared" si="7"/>
        <v>11.3773412</v>
      </c>
      <c r="G44" s="20">
        <f t="shared" si="7"/>
        <v>14.196341200000001</v>
      </c>
      <c r="H44" s="20">
        <f t="shared" si="7"/>
        <v>12.5288412</v>
      </c>
      <c r="I44" s="20">
        <f t="shared" si="7"/>
        <v>16.8088412</v>
      </c>
      <c r="J44" s="20">
        <f t="shared" si="7"/>
        <v>16.348841199999999</v>
      </c>
      <c r="K44" s="20">
        <f t="shared" si="7"/>
        <v>18.864341200000002</v>
      </c>
      <c r="L44" s="20">
        <f t="shared" si="7"/>
        <v>17.6043412</v>
      </c>
      <c r="M44" s="20">
        <f t="shared" si="7"/>
        <v>18.4443412</v>
      </c>
      <c r="N44" s="20">
        <f t="shared" si="7"/>
        <v>18.1443412</v>
      </c>
      <c r="O44" s="20">
        <f t="shared" si="7"/>
        <v>19.084341200000001</v>
      </c>
      <c r="P44" s="20">
        <f t="shared" si="7"/>
        <v>22.174341200000001</v>
      </c>
      <c r="Q44" s="20">
        <f t="shared" si="7"/>
        <v>20.774341199999999</v>
      </c>
      <c r="R44" s="20">
        <f t="shared" si="7"/>
        <v>18.3743412</v>
      </c>
      <c r="S44" s="20">
        <f t="shared" si="7"/>
        <v>18.714341200000003</v>
      </c>
      <c r="T44" s="20">
        <f t="shared" si="7"/>
        <v>21.314341200000001</v>
      </c>
      <c r="U44" s="20">
        <f>SUM(C44:T44)</f>
        <v>290.7961416</v>
      </c>
      <c r="V44" s="63">
        <v>0.1</v>
      </c>
    </row>
    <row r="45" spans="2:22" x14ac:dyDescent="0.2">
      <c r="B45" s="67" t="s">
        <v>264</v>
      </c>
      <c r="C45" s="68">
        <f t="shared" ref="C45:T45" si="8">C43+C44</f>
        <v>54.954253199999997</v>
      </c>
      <c r="D45" s="68">
        <f t="shared" si="8"/>
        <v>110.21275319999999</v>
      </c>
      <c r="E45" s="68">
        <f t="shared" si="8"/>
        <v>121.30075319999999</v>
      </c>
      <c r="F45" s="68">
        <f t="shared" si="8"/>
        <v>125.1507532</v>
      </c>
      <c r="G45" s="68">
        <f t="shared" si="8"/>
        <v>156.15975320000001</v>
      </c>
      <c r="H45" s="68">
        <f t="shared" si="8"/>
        <v>137.81725319999998</v>
      </c>
      <c r="I45" s="68">
        <f t="shared" si="8"/>
        <v>184.89725319999999</v>
      </c>
      <c r="J45" s="68">
        <f t="shared" si="8"/>
        <v>179.83725319999999</v>
      </c>
      <c r="K45" s="68">
        <f t="shared" si="8"/>
        <v>207.50775320000002</v>
      </c>
      <c r="L45" s="68">
        <f t="shared" si="8"/>
        <v>193.64775319999998</v>
      </c>
      <c r="M45" s="68">
        <f t="shared" si="8"/>
        <v>202.88775319999999</v>
      </c>
      <c r="N45" s="68">
        <f t="shared" si="8"/>
        <v>199.58775320000001</v>
      </c>
      <c r="O45" s="68">
        <f t="shared" si="8"/>
        <v>209.92775320000001</v>
      </c>
      <c r="P45" s="68">
        <f t="shared" si="8"/>
        <v>243.91775319999999</v>
      </c>
      <c r="Q45" s="68">
        <f t="shared" si="8"/>
        <v>228.51775319999999</v>
      </c>
      <c r="R45" s="68">
        <f t="shared" si="8"/>
        <v>202.11775319999998</v>
      </c>
      <c r="S45" s="68">
        <f t="shared" si="8"/>
        <v>205.85775320000002</v>
      </c>
      <c r="T45" s="68">
        <f t="shared" si="8"/>
        <v>234.45775320000001</v>
      </c>
      <c r="U45" s="68">
        <f>SUM(C45:T45)</f>
        <v>3198.7575575999995</v>
      </c>
    </row>
    <row r="47" spans="2:22" x14ac:dyDescent="0.2">
      <c r="B47" s="17" t="s">
        <v>265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2:22" x14ac:dyDescent="0.2">
      <c r="B48" s="19" t="s">
        <v>266</v>
      </c>
      <c r="C48" s="20">
        <f t="shared" ref="C48:T48" si="9">SUMPRODUCT($V$10:$V$13,C10:C13)</f>
        <v>0</v>
      </c>
      <c r="D48" s="20">
        <f t="shared" si="9"/>
        <v>0</v>
      </c>
      <c r="E48" s="20">
        <f t="shared" si="9"/>
        <v>11</v>
      </c>
      <c r="F48" s="20">
        <f t="shared" si="9"/>
        <v>11</v>
      </c>
      <c r="G48" s="20">
        <f t="shared" si="9"/>
        <v>11</v>
      </c>
      <c r="H48" s="20">
        <f t="shared" si="9"/>
        <v>27.5</v>
      </c>
      <c r="I48" s="20">
        <f t="shared" si="9"/>
        <v>32</v>
      </c>
      <c r="J48" s="20">
        <f t="shared" si="9"/>
        <v>32</v>
      </c>
      <c r="K48" s="20">
        <f t="shared" si="9"/>
        <v>32</v>
      </c>
      <c r="L48" s="20">
        <f t="shared" si="9"/>
        <v>32</v>
      </c>
      <c r="M48" s="20">
        <f t="shared" si="9"/>
        <v>32</v>
      </c>
      <c r="N48" s="20">
        <f t="shared" si="9"/>
        <v>32</v>
      </c>
      <c r="O48" s="20">
        <f t="shared" si="9"/>
        <v>32</v>
      </c>
      <c r="P48" s="20">
        <f t="shared" si="9"/>
        <v>32</v>
      </c>
      <c r="Q48" s="20">
        <f t="shared" si="9"/>
        <v>32</v>
      </c>
      <c r="R48" s="20">
        <f t="shared" si="9"/>
        <v>32</v>
      </c>
      <c r="S48" s="20">
        <f t="shared" si="9"/>
        <v>32</v>
      </c>
      <c r="T48" s="20">
        <f t="shared" si="9"/>
        <v>32</v>
      </c>
      <c r="U48" s="20">
        <f>SUM(C48:T48)</f>
        <v>444.5</v>
      </c>
    </row>
    <row r="49" spans="2:21" x14ac:dyDescent="0.2">
      <c r="B49" s="19" t="s">
        <v>267</v>
      </c>
      <c r="C49" s="20">
        <f t="shared" ref="C49:T49" si="10">SUMPRODUCT($V$8:$V$8,C8:C8)</f>
        <v>2.75</v>
      </c>
      <c r="D49" s="20">
        <f t="shared" si="10"/>
        <v>5.5</v>
      </c>
      <c r="E49" s="20">
        <f t="shared" si="10"/>
        <v>5.5</v>
      </c>
      <c r="F49" s="20">
        <f t="shared" si="10"/>
        <v>5.5</v>
      </c>
      <c r="G49" s="20">
        <f t="shared" si="10"/>
        <v>11</v>
      </c>
      <c r="H49" s="20">
        <f t="shared" si="10"/>
        <v>11</v>
      </c>
      <c r="I49" s="20">
        <f t="shared" si="10"/>
        <v>16.5</v>
      </c>
      <c r="J49" s="20">
        <f t="shared" si="10"/>
        <v>16.5</v>
      </c>
      <c r="K49" s="20">
        <f t="shared" si="10"/>
        <v>16.5</v>
      </c>
      <c r="L49" s="20">
        <f t="shared" si="10"/>
        <v>16.5</v>
      </c>
      <c r="M49" s="20">
        <f t="shared" si="10"/>
        <v>16.5</v>
      </c>
      <c r="N49" s="20">
        <f t="shared" si="10"/>
        <v>16.5</v>
      </c>
      <c r="O49" s="20">
        <f t="shared" si="10"/>
        <v>16.5</v>
      </c>
      <c r="P49" s="20">
        <f t="shared" si="10"/>
        <v>16.5</v>
      </c>
      <c r="Q49" s="20">
        <f t="shared" si="10"/>
        <v>16.5</v>
      </c>
      <c r="R49" s="20">
        <f t="shared" si="10"/>
        <v>16.5</v>
      </c>
      <c r="S49" s="20">
        <f t="shared" si="10"/>
        <v>16.5</v>
      </c>
      <c r="T49" s="20">
        <f t="shared" si="10"/>
        <v>16.5</v>
      </c>
      <c r="U49" s="20">
        <f>SUM(C49:T49)</f>
        <v>239.25</v>
      </c>
    </row>
    <row r="50" spans="2:21" x14ac:dyDescent="0.2">
      <c r="B50" s="19" t="s">
        <v>268</v>
      </c>
      <c r="C50" s="20">
        <f>C24+C25+C48+'Read Me &amp; Assumptions'!$J$11*('Revenue (monthly)'!C14)</f>
        <v>2.2999999999999998</v>
      </c>
      <c r="D50" s="20">
        <f>D24+D25+D48+'Read Me &amp; Assumptions'!$J$11*('Revenue (monthly)'!D14)</f>
        <v>9.8000000000000007</v>
      </c>
      <c r="E50" s="20">
        <f>E24+E25+E48+'Read Me &amp; Assumptions'!$J$11*('Revenue (monthly)'!E14)</f>
        <v>13.3</v>
      </c>
      <c r="F50" s="20">
        <f>F24+F25+F48+'Read Me &amp; Assumptions'!$J$11*('Revenue (monthly)'!F14)</f>
        <v>15</v>
      </c>
      <c r="G50" s="20">
        <f>G24+G25+G48+'Read Me &amp; Assumptions'!$J$11*('Revenue (monthly)'!G14)</f>
        <v>15</v>
      </c>
      <c r="H50" s="20">
        <f>H24+H25+H48+'Read Me &amp; Assumptions'!$J$11*('Revenue (monthly)'!H14)</f>
        <v>31.5</v>
      </c>
      <c r="I50" s="20">
        <f>I24+I25+I48+'Read Me &amp; Assumptions'!$J$11*('Revenue (monthly)'!I14)</f>
        <v>38</v>
      </c>
      <c r="J50" s="20">
        <f>J24+J25+J48+'Read Me &amp; Assumptions'!$J$11*('Revenue (monthly)'!J14)</f>
        <v>42.5</v>
      </c>
      <c r="K50" s="20">
        <f>K24+K25+K48+'Read Me &amp; Assumptions'!$J$11*('Revenue (monthly)'!K14)</f>
        <v>42.5</v>
      </c>
      <c r="L50" s="20">
        <f>L24+L25+L48+'Read Me &amp; Assumptions'!$J$11*('Revenue (monthly)'!L14)</f>
        <v>44.5</v>
      </c>
      <c r="M50" s="20">
        <f>M24+M25+M48+'Read Me &amp; Assumptions'!$J$11*('Revenue (monthly)'!M14)</f>
        <v>45.4</v>
      </c>
      <c r="N50" s="20">
        <f>N24+N25+N48+'Read Me &amp; Assumptions'!$J$11*('Revenue (monthly)'!N14)</f>
        <v>45.4</v>
      </c>
      <c r="O50" s="20">
        <f>O24+O25+O48+'Read Me &amp; Assumptions'!$J$11*('Revenue (monthly)'!O14)</f>
        <v>47.4</v>
      </c>
      <c r="P50" s="20">
        <f>P24+P25+P48+'Read Me &amp; Assumptions'!$J$11*('Revenue (monthly)'!P14)</f>
        <v>48.3</v>
      </c>
      <c r="Q50" s="20">
        <f>Q24+Q25+Q48+'Read Me &amp; Assumptions'!$J$11*('Revenue (monthly)'!Q14)</f>
        <v>48.3</v>
      </c>
      <c r="R50" s="20">
        <f>R24+R25+R48+'Read Me &amp; Assumptions'!$J$11*('Revenue (monthly)'!R14)</f>
        <v>50.3</v>
      </c>
      <c r="S50" s="20">
        <f>S24+S25+S48+'Read Me &amp; Assumptions'!$J$11*('Revenue (monthly)'!S14)</f>
        <v>51.2</v>
      </c>
      <c r="T50" s="20">
        <f>T24+T25+T48+'Read Me &amp; Assumptions'!$J$11*('Revenue (monthly)'!T14)</f>
        <v>51.2</v>
      </c>
      <c r="U50" s="20">
        <f>SUM(C50:T50)</f>
        <v>641.90000000000009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 &amp; Assumptions</vt:lpstr>
      <vt:lpstr>Quarterly Summary</vt:lpstr>
      <vt:lpstr>Investor Metrics</vt:lpstr>
      <vt:lpstr>Use of Funds</vt:lpstr>
      <vt:lpstr>Revenue (monthly)</vt:lpstr>
      <vt:lpstr>Expenses (monthly)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Alex Shkrebelo</cp:lastModifiedBy>
  <cp:revision>0</cp:revision>
  <dcterms:created xsi:type="dcterms:W3CDTF">2026-06-16T14:02:23Z</dcterms:created>
  <dcterms:modified xsi:type="dcterms:W3CDTF">2026-06-16T15:34:10Z</dcterms:modified>
  <dc:language>en-US</dc:language>
</cp:coreProperties>
</file>